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\OneDrive\Desktop\532022 Booster Meeting\"/>
    </mc:Choice>
  </mc:AlternateContent>
  <xr:revisionPtr revIDLastSave="0" documentId="8_{C6AFE714-DDE5-41D2-8C7C-0C60041CC666}" xr6:coauthVersionLast="47" xr6:coauthVersionMax="47" xr10:uidLastSave="{00000000-0000-0000-0000-000000000000}"/>
  <bookViews>
    <workbookView xWindow="1425" yWindow="1530" windowWidth="22995" windowHeight="13065" tabRatio="791" xr2:uid="{00000000-000D-0000-FFFF-FFFF00000000}"/>
  </bookViews>
  <sheets>
    <sheet name="Balance Sheet" sheetId="1" r:id="rId1"/>
    <sheet name="P&amp;L Yearly" sheetId="3" r:id="rId2"/>
    <sheet name="P&amp;L Monthly" sheetId="4" r:id="rId3"/>
    <sheet name="Bank Reconciliation" sheetId="2" r:id="rId4"/>
    <sheet name="Activity Fund Reconciliation" sheetId="5" r:id="rId5"/>
    <sheet name="Trip Acct - Bal Sheet" sheetId="6" r:id="rId6"/>
    <sheet name="Trip Acct - P&amp;L" sheetId="7" r:id="rId7"/>
    <sheet name="Trip Acct - Stu Credits" sheetId="8" r:id="rId8"/>
    <sheet name="Trip Acct - Checks Outstanding" sheetId="9" r:id="rId9"/>
  </sheets>
  <definedNames>
    <definedName name="_xlnm.Print_Titles" localSheetId="1">'P&amp;L Yearly'!$5:$6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7" l="1"/>
  <c r="B24" i="7" s="1"/>
  <c r="B25" i="7" s="1"/>
  <c r="B19" i="7"/>
  <c r="B18" i="7"/>
  <c r="B20" i="7" s="1"/>
  <c r="B17" i="7"/>
  <c r="B16" i="7"/>
  <c r="B15" i="7"/>
  <c r="B11" i="7"/>
  <c r="B9" i="7"/>
  <c r="B8" i="7"/>
  <c r="B10" i="7" s="1"/>
  <c r="B12" i="7" s="1"/>
  <c r="B13" i="7" s="1"/>
  <c r="B21" i="7" s="1"/>
  <c r="B22" i="6"/>
  <c r="B21" i="6"/>
  <c r="B20" i="6"/>
  <c r="B23" i="6" s="1"/>
  <c r="B24" i="6" s="1"/>
  <c r="B12" i="6"/>
  <c r="B13" i="6" s="1"/>
  <c r="B10" i="6"/>
  <c r="B9" i="6"/>
  <c r="C122" i="3"/>
  <c r="C123" i="3" s="1"/>
  <c r="B121" i="3"/>
  <c r="D121" i="3" s="1"/>
  <c r="B120" i="3"/>
  <c r="D120" i="3" s="1"/>
  <c r="B119" i="3"/>
  <c r="D119" i="3" s="1"/>
  <c r="B118" i="3"/>
  <c r="D118" i="3" s="1"/>
  <c r="B117" i="3"/>
  <c r="D117" i="3" s="1"/>
  <c r="B116" i="3"/>
  <c r="D116" i="3" s="1"/>
  <c r="B115" i="3"/>
  <c r="D115" i="3" s="1"/>
  <c r="B114" i="3"/>
  <c r="D114" i="3" s="1"/>
  <c r="B113" i="3"/>
  <c r="D113" i="3" s="1"/>
  <c r="D112" i="3"/>
  <c r="B109" i="3"/>
  <c r="D109" i="3" s="1"/>
  <c r="C108" i="3"/>
  <c r="C110" i="3" s="1"/>
  <c r="C124" i="3" s="1"/>
  <c r="D107" i="3"/>
  <c r="B107" i="3"/>
  <c r="B106" i="3"/>
  <c r="D106" i="3" s="1"/>
  <c r="D105" i="3"/>
  <c r="B105" i="3"/>
  <c r="B104" i="3"/>
  <c r="D104" i="3" s="1"/>
  <c r="D103" i="3"/>
  <c r="B103" i="3"/>
  <c r="D102" i="3"/>
  <c r="B102" i="3"/>
  <c r="C101" i="3"/>
  <c r="B100" i="3"/>
  <c r="D100" i="3" s="1"/>
  <c r="B99" i="3"/>
  <c r="B101" i="3" s="1"/>
  <c r="D101" i="3" s="1"/>
  <c r="B98" i="3"/>
  <c r="D98" i="3" s="1"/>
  <c r="B97" i="3"/>
  <c r="D97" i="3" s="1"/>
  <c r="B96" i="3"/>
  <c r="B108" i="3" s="1"/>
  <c r="C92" i="3"/>
  <c r="B92" i="3"/>
  <c r="D92" i="3" s="1"/>
  <c r="D91" i="3"/>
  <c r="C91" i="3"/>
  <c r="B91" i="3"/>
  <c r="D90" i="3"/>
  <c r="C90" i="3"/>
  <c r="C88" i="3"/>
  <c r="B88" i="3"/>
  <c r="B89" i="3" s="1"/>
  <c r="C87" i="3"/>
  <c r="D87" i="3" s="1"/>
  <c r="B87" i="3"/>
  <c r="D86" i="3"/>
  <c r="D85" i="3"/>
  <c r="C85" i="3"/>
  <c r="C83" i="3"/>
  <c r="B83" i="3"/>
  <c r="D83" i="3" s="1"/>
  <c r="C82" i="3"/>
  <c r="D82" i="3" s="1"/>
  <c r="B82" i="3"/>
  <c r="D81" i="3"/>
  <c r="C81" i="3"/>
  <c r="B81" i="3"/>
  <c r="C80" i="3"/>
  <c r="D80" i="3" s="1"/>
  <c r="B80" i="3"/>
  <c r="C79" i="3"/>
  <c r="B79" i="3"/>
  <c r="D79" i="3" s="1"/>
  <c r="C78" i="3"/>
  <c r="D78" i="3" s="1"/>
  <c r="C77" i="3"/>
  <c r="B77" i="3"/>
  <c r="D77" i="3" s="1"/>
  <c r="C76" i="3"/>
  <c r="D76" i="3" s="1"/>
  <c r="D75" i="3"/>
  <c r="C75" i="3"/>
  <c r="C74" i="3"/>
  <c r="D74" i="3" s="1"/>
  <c r="C73" i="3"/>
  <c r="B73" i="3"/>
  <c r="D73" i="3" s="1"/>
  <c r="C72" i="3"/>
  <c r="B72" i="3"/>
  <c r="D72" i="3" s="1"/>
  <c r="B71" i="3"/>
  <c r="D71" i="3" s="1"/>
  <c r="C70" i="3"/>
  <c r="B70" i="3"/>
  <c r="D70" i="3" s="1"/>
  <c r="C69" i="3"/>
  <c r="C84" i="3" s="1"/>
  <c r="B69" i="3"/>
  <c r="B84" i="3" s="1"/>
  <c r="D84" i="3" s="1"/>
  <c r="D68" i="3"/>
  <c r="C66" i="3"/>
  <c r="B66" i="3"/>
  <c r="D66" i="3" s="1"/>
  <c r="C65" i="3"/>
  <c r="B65" i="3"/>
  <c r="D65" i="3" s="1"/>
  <c r="C64" i="3"/>
  <c r="B64" i="3"/>
  <c r="D64" i="3" s="1"/>
  <c r="C63" i="3"/>
  <c r="D63" i="3" s="1"/>
  <c r="C62" i="3"/>
  <c r="B62" i="3"/>
  <c r="D62" i="3" s="1"/>
  <c r="C61" i="3"/>
  <c r="B61" i="3"/>
  <c r="D61" i="3" s="1"/>
  <c r="C60" i="3"/>
  <c r="C67" i="3" s="1"/>
  <c r="B60" i="3"/>
  <c r="D60" i="3" s="1"/>
  <c r="D59" i="3"/>
  <c r="C59" i="3"/>
  <c r="B59" i="3"/>
  <c r="C58" i="3"/>
  <c r="B58" i="3"/>
  <c r="B67" i="3" s="1"/>
  <c r="D67" i="3" s="1"/>
  <c r="D57" i="3"/>
  <c r="C55" i="3"/>
  <c r="B55" i="3"/>
  <c r="B56" i="3" s="1"/>
  <c r="D56" i="3" s="1"/>
  <c r="C54" i="3"/>
  <c r="C56" i="3" s="1"/>
  <c r="B54" i="3"/>
  <c r="D54" i="3" s="1"/>
  <c r="C53" i="3"/>
  <c r="B53" i="3"/>
  <c r="D53" i="3" s="1"/>
  <c r="D52" i="3"/>
  <c r="C50" i="3"/>
  <c r="D50" i="3" s="1"/>
  <c r="B50" i="3"/>
  <c r="D49" i="3"/>
  <c r="C49" i="3"/>
  <c r="C48" i="3"/>
  <c r="B48" i="3"/>
  <c r="D48" i="3" s="1"/>
  <c r="C47" i="3"/>
  <c r="B47" i="3"/>
  <c r="D47" i="3" s="1"/>
  <c r="C46" i="3"/>
  <c r="B46" i="3"/>
  <c r="D46" i="3" s="1"/>
  <c r="C45" i="3"/>
  <c r="B45" i="3"/>
  <c r="D45" i="3" s="1"/>
  <c r="C44" i="3"/>
  <c r="B44" i="3"/>
  <c r="D44" i="3" s="1"/>
  <c r="C43" i="3"/>
  <c r="B43" i="3"/>
  <c r="D43" i="3" s="1"/>
  <c r="C42" i="3"/>
  <c r="B42" i="3"/>
  <c r="D42" i="3" s="1"/>
  <c r="C41" i="3"/>
  <c r="B41" i="3"/>
  <c r="D41" i="3" s="1"/>
  <c r="C40" i="3"/>
  <c r="B40" i="3"/>
  <c r="D40" i="3" s="1"/>
  <c r="C39" i="3"/>
  <c r="B39" i="3"/>
  <c r="D39" i="3" s="1"/>
  <c r="C38" i="3"/>
  <c r="B38" i="3"/>
  <c r="D38" i="3" s="1"/>
  <c r="C37" i="3"/>
  <c r="B37" i="3"/>
  <c r="D37" i="3" s="1"/>
  <c r="C36" i="3"/>
  <c r="B36" i="3"/>
  <c r="D36" i="3" s="1"/>
  <c r="C35" i="3"/>
  <c r="B35" i="3"/>
  <c r="D35" i="3" s="1"/>
  <c r="C34" i="3"/>
  <c r="C51" i="3" s="1"/>
  <c r="B34" i="3"/>
  <c r="D34" i="3" s="1"/>
  <c r="C33" i="3"/>
  <c r="B33" i="3"/>
  <c r="D33" i="3" s="1"/>
  <c r="C32" i="3"/>
  <c r="B32" i="3"/>
  <c r="D32" i="3" s="1"/>
  <c r="D31" i="3"/>
  <c r="D27" i="3"/>
  <c r="B27" i="3"/>
  <c r="B26" i="3"/>
  <c r="D26" i="3" s="1"/>
  <c r="C25" i="3"/>
  <c r="B25" i="3"/>
  <c r="D25" i="3" s="1"/>
  <c r="C24" i="3"/>
  <c r="B24" i="3"/>
  <c r="D24" i="3" s="1"/>
  <c r="B22" i="3"/>
  <c r="D22" i="3" s="1"/>
  <c r="C20" i="3"/>
  <c r="D20" i="3" s="1"/>
  <c r="C19" i="3"/>
  <c r="B19" i="3"/>
  <c r="D19" i="3" s="1"/>
  <c r="C18" i="3"/>
  <c r="D18" i="3" s="1"/>
  <c r="B18" i="3"/>
  <c r="C17" i="3"/>
  <c r="B17" i="3"/>
  <c r="D17" i="3" s="1"/>
  <c r="D16" i="3"/>
  <c r="C15" i="3"/>
  <c r="B15" i="3"/>
  <c r="D15" i="3" s="1"/>
  <c r="B14" i="3"/>
  <c r="D14" i="3" s="1"/>
  <c r="C13" i="3"/>
  <c r="D13" i="3" s="1"/>
  <c r="B13" i="3"/>
  <c r="C12" i="3"/>
  <c r="B12" i="3"/>
  <c r="D12" i="3" s="1"/>
  <c r="C11" i="3"/>
  <c r="B11" i="3"/>
  <c r="D11" i="3" s="1"/>
  <c r="C10" i="3"/>
  <c r="B10" i="3"/>
  <c r="D9" i="3"/>
  <c r="D8" i="3"/>
  <c r="C8" i="3"/>
  <c r="B8" i="3"/>
  <c r="B45" i="1"/>
  <c r="B46" i="1" s="1"/>
  <c r="B44" i="1"/>
  <c r="B43" i="1"/>
  <c r="B42" i="1"/>
  <c r="B41" i="1"/>
  <c r="B33" i="1"/>
  <c r="B34" i="1" s="1"/>
  <c r="B35" i="1" s="1"/>
  <c r="B27" i="1"/>
  <c r="B26" i="1"/>
  <c r="B25" i="1"/>
  <c r="B24" i="1"/>
  <c r="B23" i="1"/>
  <c r="B22" i="1"/>
  <c r="B21" i="1"/>
  <c r="B28" i="1" s="1"/>
  <c r="B29" i="1" s="1"/>
  <c r="B18" i="1"/>
  <c r="B16" i="1"/>
  <c r="B15" i="1"/>
  <c r="B14" i="1"/>
  <c r="B13" i="1"/>
  <c r="B12" i="1"/>
  <c r="B11" i="1"/>
  <c r="B10" i="1"/>
  <c r="B17" i="1" s="1"/>
  <c r="B19" i="1" s="1"/>
  <c r="B30" i="1" s="1"/>
  <c r="B36" i="1" s="1"/>
  <c r="B9" i="1"/>
  <c r="B7" i="2"/>
  <c r="B26" i="7" l="1"/>
  <c r="B14" i="6"/>
  <c r="B15" i="6" s="1"/>
  <c r="D108" i="3"/>
  <c r="B110" i="3"/>
  <c r="D10" i="3"/>
  <c r="D55" i="3"/>
  <c r="D69" i="3"/>
  <c r="D88" i="3"/>
  <c r="B21" i="3"/>
  <c r="D99" i="3"/>
  <c r="B51" i="3"/>
  <c r="B122" i="3"/>
  <c r="C21" i="3"/>
  <c r="C23" i="3" s="1"/>
  <c r="C28" i="3" s="1"/>
  <c r="C29" i="3" s="1"/>
  <c r="C89" i="3"/>
  <c r="C93" i="3" s="1"/>
  <c r="D58" i="3"/>
  <c r="D96" i="3"/>
  <c r="B81" i="2"/>
  <c r="E70" i="2"/>
  <c r="B79" i="2" s="1"/>
  <c r="E64" i="2"/>
  <c r="B78" i="2" s="1"/>
  <c r="B8" i="2"/>
  <c r="B72" i="2" s="1"/>
  <c r="B77" i="2"/>
  <c r="H11" i="5"/>
  <c r="F11" i="5"/>
  <c r="E11" i="5"/>
  <c r="J10" i="5"/>
  <c r="K10" i="5" s="1"/>
  <c r="G10" i="5"/>
  <c r="J9" i="5"/>
  <c r="G9" i="5"/>
  <c r="J8" i="5"/>
  <c r="K8" i="5" s="1"/>
  <c r="G8" i="5"/>
  <c r="J7" i="5"/>
  <c r="G7" i="5"/>
  <c r="J6" i="5"/>
  <c r="G6" i="5"/>
  <c r="J5" i="5"/>
  <c r="G5" i="5"/>
  <c r="C94" i="3" l="1"/>
  <c r="C125" i="3" s="1"/>
  <c r="D21" i="3"/>
  <c r="D89" i="3"/>
  <c r="D110" i="3"/>
  <c r="B124" i="3"/>
  <c r="D124" i="3" s="1"/>
  <c r="B123" i="3"/>
  <c r="D123" i="3" s="1"/>
  <c r="D122" i="3"/>
  <c r="B23" i="3"/>
  <c r="B93" i="3"/>
  <c r="D93" i="3" s="1"/>
  <c r="D51" i="3"/>
  <c r="K6" i="5"/>
  <c r="J11" i="5"/>
  <c r="K9" i="5"/>
  <c r="G11" i="5"/>
  <c r="K11" i="5" s="1"/>
  <c r="K7" i="5"/>
  <c r="B73" i="2"/>
  <c r="B74" i="2" s="1"/>
  <c r="B80" i="2"/>
  <c r="B82" i="2" s="1"/>
  <c r="K5" i="5"/>
  <c r="D23" i="3" l="1"/>
  <c r="B28" i="3"/>
  <c r="E37" i="9"/>
  <c r="B29" i="3" l="1"/>
  <c r="D28" i="3"/>
  <c r="B54" i="9"/>
  <c r="B50" i="9"/>
  <c r="E43" i="9"/>
  <c r="B52" i="9" s="1"/>
  <c r="B8" i="9"/>
  <c r="B45" i="9" s="1"/>
  <c r="B94" i="3" l="1"/>
  <c r="D29" i="3"/>
  <c r="B51" i="9"/>
  <c r="B53" i="9" s="1"/>
  <c r="B55" i="9" s="1"/>
  <c r="B46" i="9"/>
  <c r="B47" i="9" s="1"/>
  <c r="B125" i="3" l="1"/>
  <c r="D125" i="3" s="1"/>
  <c r="D9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Schroeder</author>
  </authors>
  <commentList>
    <comment ref="E9" authorId="0" shapeId="0" xr:uid="{89827008-2649-4F2B-8AB6-90A2C1570FC8}">
      <text>
        <r>
          <rPr>
            <b/>
            <sz val="9"/>
            <color indexed="81"/>
            <rFont val="Tahoma"/>
            <family val="2"/>
          </rPr>
          <t>Amy Schroeder:</t>
        </r>
        <r>
          <rPr>
            <sz val="9"/>
            <color indexed="81"/>
            <rFont val="Tahoma"/>
            <family val="2"/>
          </rPr>
          <t xml:space="preserve">
Duplicate ck #9627 for $1860 to Steve Weiss from YF20-21 was voided in FY21-22</t>
        </r>
      </text>
    </comment>
  </commentList>
</comments>
</file>

<file path=xl/sharedStrings.xml><?xml version="1.0" encoding="utf-8"?>
<sst xmlns="http://schemas.openxmlformats.org/spreadsheetml/2006/main" count="689" uniqueCount="363">
  <si>
    <t>Difference</t>
  </si>
  <si>
    <t>Instructions:</t>
  </si>
  <si>
    <t>Pass-thru Accounts: 6xxx and 7xxx Series</t>
  </si>
  <si>
    <t>Bank</t>
  </si>
  <si>
    <t>Revenue</t>
  </si>
  <si>
    <t>Expense</t>
  </si>
  <si>
    <t>Net Change</t>
  </si>
  <si>
    <t>Full FY Revenue</t>
  </si>
  <si>
    <t>Full FY Expense</t>
  </si>
  <si>
    <t>CG - JV/Varsity</t>
  </si>
  <si>
    <t>CG - Cadet</t>
  </si>
  <si>
    <t>Jazz</t>
  </si>
  <si>
    <t>Percussion</t>
  </si>
  <si>
    <t>Indoor</t>
  </si>
  <si>
    <t>TOTAL</t>
  </si>
  <si>
    <t>Semi Trailer*</t>
  </si>
  <si>
    <t>QBO Account Numbers</t>
  </si>
  <si>
    <t>Bank Account Balances: 11xx Series</t>
  </si>
  <si>
    <t>BALANCES</t>
  </si>
  <si>
    <t>Bank Balance</t>
  </si>
  <si>
    <t>QuickBooks Balance</t>
  </si>
  <si>
    <t>OUTSTANDING &amp; PENDING CHECKS</t>
  </si>
  <si>
    <t>Date</t>
  </si>
  <si>
    <t>Type</t>
  </si>
  <si>
    <t>Num</t>
  </si>
  <si>
    <t>Name</t>
  </si>
  <si>
    <t>Amount</t>
  </si>
  <si>
    <t>Checks Outstanding</t>
  </si>
  <si>
    <t>BANK TRANSACTIONS PENDING</t>
  </si>
  <si>
    <t>Deposits pending</t>
  </si>
  <si>
    <t>Incoming checks pending</t>
  </si>
  <si>
    <t>Bank Transactions Pending</t>
  </si>
  <si>
    <t>DIFFERENCE</t>
  </si>
  <si>
    <t>Bank vs. QBO</t>
  </si>
  <si>
    <t>Total Outstanding (Checks + Bank Trnsxns)</t>
  </si>
  <si>
    <t>WALK DOWN</t>
  </si>
  <si>
    <t>Expected QBO Balance</t>
  </si>
  <si>
    <t>Actual QBO Balance</t>
  </si>
  <si>
    <t>Notes</t>
  </si>
  <si>
    <t>Check</t>
  </si>
  <si>
    <t>1.  Run Balance Sheet report with date range set to 'This Fiscal Year' (July 1 thru June 30).  Use results to update June 30 bank account amounts (11xx series) in Column F.</t>
  </si>
  <si>
    <t>3.  Column K should indicate $0.00 net change difference for Bank vs. Pass-Thru for each row, except for Semi Trailer account if there are any in-kind sponsorship donations.</t>
  </si>
  <si>
    <t>2.  Run Profit &amp; Loss Yearly report with date range set to 'This Fiscal Year'.  Use results to update Columns H and I with the Activity fund revenue and expense amounts (6xxx and 7xxx series).</t>
  </si>
  <si>
    <t>Balance Sheet</t>
  </si>
  <si>
    <t>Total</t>
  </si>
  <si>
    <t>ASSETS</t>
  </si>
  <si>
    <t xml:space="preserve">   Current Assets</t>
  </si>
  <si>
    <t xml:space="preserve">      Bank Accounts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</si>
  <si>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</si>
  <si>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</si>
  <si>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</si>
  <si>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</si>
  <si>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</si>
  <si>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</si>
  <si>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</si>
  <si>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3000 Opening Bal Equity</t>
  </si>
  <si>
    <t xml:space="preserve">      3100 Retained Earnings</t>
  </si>
  <si>
    <t xml:space="preserve">   Total Equity</t>
  </si>
  <si>
    <t>TOTAL LIABILITIES AND EQUITY</t>
  </si>
  <si>
    <t>TRIP ACCOUNT MONTHLY OUTSTANDING CHECKS RECONCILIATION</t>
  </si>
  <si>
    <t>TRIP ACCOUNT</t>
  </si>
  <si>
    <t>Carroll ISD Band Boosters - Trip Acct</t>
  </si>
  <si>
    <t>Customer Balance Summary</t>
  </si>
  <si>
    <t>All Dates</t>
  </si>
  <si>
    <t>Carroll ISD Band Boosters</t>
  </si>
  <si>
    <t>*Note: Differences in Semi Trailer Bank Account net change vs. Pass-Thru net change may be due to in-kind (non-cash) sponsorships, if any exist for the current fiscal year.</t>
  </si>
  <si>
    <t>Bank Net Change vs Pass-Thru Acct Net Change</t>
  </si>
  <si>
    <t xml:space="preserve">         1100 Cash-General  Fund</t>
  </si>
  <si>
    <t xml:space="preserve">            1110 GF__General Operating</t>
  </si>
  <si>
    <t xml:space="preserve">            1120 GF__Colorguard Student Fund</t>
  </si>
  <si>
    <t xml:space="preserve">            1125 GF__Colorguard Cadet Fund</t>
  </si>
  <si>
    <t xml:space="preserve">            1130 GF__Jazz Band Fund</t>
  </si>
  <si>
    <t xml:space="preserve">            1140 GF__Percussion Fund</t>
  </si>
  <si>
    <t xml:space="preserve">            1145 GF_Indoor Drumline</t>
  </si>
  <si>
    <t xml:space="preserve">            1166 GF_SemiTrailer</t>
  </si>
  <si>
    <t xml:space="preserve">         Total 1100 Cash-General  Fund</t>
  </si>
  <si>
    <t xml:space="preserve">         1185 PayPal Deposit Account</t>
  </si>
  <si>
    <t xml:space="preserve">   Other Assets</t>
  </si>
  <si>
    <t xml:space="preserve">      1400 Investments</t>
  </si>
  <si>
    <t xml:space="preserve">         1403 Frost Brokerage Services</t>
  </si>
  <si>
    <t xml:space="preserve">      Total 1400 Investments</t>
  </si>
  <si>
    <t xml:space="preserve">   Total Other Assets</t>
  </si>
  <si>
    <t xml:space="preserve">      3150 Distribution-CISD- Instruments</t>
  </si>
  <si>
    <t xml:space="preserve">      Net Income</t>
  </si>
  <si>
    <t>Interest posting x/xx/2021 (in bank total but not in QBO)</t>
  </si>
  <si>
    <t>General Fund</t>
  </si>
  <si>
    <t>01/30/2019</t>
  </si>
  <si>
    <t>Bryant Bands</t>
  </si>
  <si>
    <t>03/30/2019</t>
  </si>
  <si>
    <t>Jon Maynard</t>
  </si>
  <si>
    <t>10/01/2019</t>
  </si>
  <si>
    <t>Danita Maxwell</t>
  </si>
  <si>
    <t>01/19/2020</t>
  </si>
  <si>
    <t>Jennifer Clark</t>
  </si>
  <si>
    <t>Liza Goodner</t>
  </si>
  <si>
    <t>Paula Madden</t>
  </si>
  <si>
    <t>03/08/2020</t>
  </si>
  <si>
    <t>Frank Troyka</t>
  </si>
  <si>
    <t>09/03/2020</t>
  </si>
  <si>
    <t>Wendy Burgess, Tarrant County Tax Assessor-Collector</t>
  </si>
  <si>
    <t>12/11/2020</t>
  </si>
  <si>
    <t>Jenna W. Del Cristo</t>
  </si>
  <si>
    <t>03/03/2021</t>
  </si>
  <si>
    <t>Tondra Dutta</t>
  </si>
  <si>
    <t>Gautam Nallia</t>
  </si>
  <si>
    <t>05/28/2021</t>
  </si>
  <si>
    <t>James Thomas (expenses only)</t>
  </si>
  <si>
    <t>06/03/2021</t>
  </si>
  <si>
    <t>Fox Rental</t>
  </si>
  <si>
    <t>James Thomas</t>
  </si>
  <si>
    <t>02/25/2022</t>
  </si>
  <si>
    <t>04/29/2022</t>
  </si>
  <si>
    <t>05/27/2022</t>
  </si>
  <si>
    <t>06/24/2022</t>
  </si>
  <si>
    <t>07/29/2022</t>
  </si>
  <si>
    <t>08/13/2021</t>
  </si>
  <si>
    <t>Brownfield, Tom</t>
  </si>
  <si>
    <t>`</t>
  </si>
  <si>
    <t>09/07/2021</t>
  </si>
  <si>
    <t>Hiyas Fonte</t>
  </si>
  <si>
    <t>Trailer in-kind sponsorships:</t>
  </si>
  <si>
    <t>Jersey Mikes</t>
  </si>
  <si>
    <t>Check 9776 &amp; JE325</t>
  </si>
  <si>
    <t>GENERAL FUND MONTHLY BANK RECONCILIATION</t>
  </si>
  <si>
    <t>Carroll ISD Band Boosters - General Fund</t>
  </si>
  <si>
    <t>Check 9836 &amp; JE332</t>
  </si>
  <si>
    <t xml:space="preserve">Budget vs. Actuals: FY_2021_2022 - FY22 P&amp;L </t>
  </si>
  <si>
    <t>July 2021 - June 2022</t>
  </si>
  <si>
    <t>Actual</t>
  </si>
  <si>
    <t>Budget</t>
  </si>
  <si>
    <t>over Budget</t>
  </si>
  <si>
    <t>Income</t>
  </si>
  <si>
    <t xml:space="preserve">   4200 Band Banquet Receipts</t>
  </si>
  <si>
    <t xml:space="preserve">   4600 Fundraising Activities</t>
  </si>
  <si>
    <t xml:space="preserve">      4610 Band Fees</t>
  </si>
  <si>
    <t xml:space="preserve">      4611 Competition Fees</t>
  </si>
  <si>
    <t xml:space="preserve">      4620 Football Game Parking Revenue</t>
  </si>
  <si>
    <t xml:space="preserve">      4630 Corporation &amp; Other Donations</t>
  </si>
  <si>
    <t xml:space="preserve">      4631 Online Fundraiser</t>
  </si>
  <si>
    <t xml:space="preserve">      4632 North TX Giving Day Donations</t>
  </si>
  <si>
    <t xml:space="preserve">      4640 Bistro</t>
  </si>
  <si>
    <t xml:space="preserve">         4641 Bistro Dinner Ticket Proceeds</t>
  </si>
  <si>
    <t xml:space="preserve">         4642 Bistro Raffle Proceeds</t>
  </si>
  <si>
    <t xml:space="preserve">         4643 Bistro Auction Proceeds</t>
  </si>
  <si>
    <t xml:space="preserve">         4645 Bistro Donations</t>
  </si>
  <si>
    <t xml:space="preserve">      Total 4640 Bistro</t>
  </si>
  <si>
    <t xml:space="preserve">   Total 4600 Fundraising Activities</t>
  </si>
  <si>
    <t xml:space="preserve">   4700 Band Store Sales</t>
  </si>
  <si>
    <t xml:space="preserve">   4900 Interest Income</t>
  </si>
  <si>
    <t xml:space="preserve">   4950 Miscellaneous Income</t>
  </si>
  <si>
    <t>Total Income</t>
  </si>
  <si>
    <t>Gross Profit</t>
  </si>
  <si>
    <t>Expenses</t>
  </si>
  <si>
    <t xml:space="preserve">   5100 Marching Related Expenses</t>
  </si>
  <si>
    <t xml:space="preserve">      5110 Drill Charts</t>
  </si>
  <si>
    <t xml:space="preserve">      5115 Marching Consultant/Tech/Clinic</t>
  </si>
  <si>
    <t xml:space="preserve">      5117 Marching Sound Design</t>
  </si>
  <si>
    <t xml:space="preserve">      5118 Music Arrangement Percussion</t>
  </si>
  <si>
    <t xml:space="preserve">      5119 Music Arngmt - Brass/Woodwinds</t>
  </si>
  <si>
    <t xml:space="preserve">      5120 Marching Music Licensing Fee</t>
  </si>
  <si>
    <t xml:space="preserve">      5121 Marching Show Expense</t>
  </si>
  <si>
    <t xml:space="preserve">      5124 Hospitality - Beverage &amp; Misc</t>
  </si>
  <si>
    <t xml:space="preserve">      5125 Hospitality - Food</t>
  </si>
  <si>
    <t xml:space="preserve">      5126 Uniform Maintenance &amp; Related</t>
  </si>
  <si>
    <t xml:space="preserve">      5130 Colorguard</t>
  </si>
  <si>
    <t xml:space="preserve">      5131 Colorguard Tech</t>
  </si>
  <si>
    <t xml:space="preserve">      5135 Marching Props</t>
  </si>
  <si>
    <t xml:space="preserve">      5136 Colorguard Flags</t>
  </si>
  <si>
    <t xml:space="preserve">      5140 Contests &amp; Clinics</t>
  </si>
  <si>
    <t xml:space="preserve">      5141 Marching Away Competition</t>
  </si>
  <si>
    <t xml:space="preserve">      5160 Band Socials (August/January)</t>
  </si>
  <si>
    <t xml:space="preserve">      5175 Trailer Maintenance - Small Trailer</t>
  </si>
  <si>
    <t xml:space="preserve">      5180 Director Shirts &amp; Jackets</t>
  </si>
  <si>
    <t xml:space="preserve">   Total 5100 Marching Related Expenses</t>
  </si>
  <si>
    <t xml:space="preserve">   5200 Band Awards/Recognitions</t>
  </si>
  <si>
    <t xml:space="preserve">      5210 Band Banquet</t>
  </si>
  <si>
    <t xml:space="preserve">      5220 Awards/Plaques</t>
  </si>
  <si>
    <t xml:space="preserve">      5230 Sr. Night recognition</t>
  </si>
  <si>
    <t xml:space="preserve">   Total 5200 Band Awards/Recognitions</t>
  </si>
  <si>
    <t xml:space="preserve">   5300 Band Program</t>
  </si>
  <si>
    <t xml:space="preserve">      5307 Band Equipment</t>
  </si>
  <si>
    <t xml:space="preserve">      5320 Clinicians/Judges/Band &amp; Guard</t>
  </si>
  <si>
    <t xml:space="preserve">      5325 Hospitality (food/drinks)</t>
  </si>
  <si>
    <t xml:space="preserve">      5360 Jazz Band - Recording / Clinic</t>
  </si>
  <si>
    <t xml:space="preserve">      5365 Percussion</t>
  </si>
  <si>
    <t xml:space="preserve">      5366 Indoor Drumline</t>
  </si>
  <si>
    <t xml:space="preserve">      5367 Winterguard Choreographer/Tech</t>
  </si>
  <si>
    <t xml:space="preserve">      5380 Band Competitions</t>
  </si>
  <si>
    <t xml:space="preserve">      5399 Misc. Band Program Expense</t>
  </si>
  <si>
    <t xml:space="preserve">   Total 5300 Band Program</t>
  </si>
  <si>
    <t xml:space="preserve">   5400 Administration/Other</t>
  </si>
  <si>
    <t xml:space="preserve">      5405 Software</t>
  </si>
  <si>
    <t xml:space="preserve">      5410 Admin. Supplies (Band Hall/CBB)</t>
  </si>
  <si>
    <t xml:space="preserve">      5412 Directory Printing</t>
  </si>
  <si>
    <t xml:space="preserve">      5415 Printing &amp; Postage</t>
  </si>
  <si>
    <t xml:space="preserve">      5420 Copier Maintenance</t>
  </si>
  <si>
    <t xml:space="preserve">      5425 Credit Card Processing Fees</t>
  </si>
  <si>
    <t xml:space="preserve">      5435 CHARMS Expense</t>
  </si>
  <si>
    <t xml:space="preserve">      5440 Mileage Reimbursement</t>
  </si>
  <si>
    <t xml:space="preserve">      5445 Website</t>
  </si>
  <si>
    <t xml:space="preserve">      5450 Discount Club Membership</t>
  </si>
  <si>
    <t xml:space="preserve">      5455 Storage Facility Expense</t>
  </si>
  <si>
    <t xml:space="preserve">      5460 Fees/Tax Return Prep</t>
  </si>
  <si>
    <t xml:space="preserve">      5465 Insurance Expense</t>
  </si>
  <si>
    <t xml:space="preserve">      5470 Bank  Charges</t>
  </si>
  <si>
    <t xml:space="preserve">      5480 Misc. Expenses</t>
  </si>
  <si>
    <t xml:space="preserve">   Total 5400 Administration/Other</t>
  </si>
  <si>
    <t xml:space="preserve">   5500 Student Scholarships</t>
  </si>
  <si>
    <t xml:space="preserve">   5600 Fundraising Expenses</t>
  </si>
  <si>
    <t xml:space="preserve">      5640 Exp re Bistro</t>
  </si>
  <si>
    <t xml:space="preserve">      5675 Fundraising Expenses - Other</t>
  </si>
  <si>
    <t xml:space="preserve">   Total 5600 Fundraising Expenses</t>
  </si>
  <si>
    <t xml:space="preserve">   5630 Director Hardship Fund</t>
  </si>
  <si>
    <t xml:space="preserve">   5700 Band Store Product Purchases</t>
  </si>
  <si>
    <t xml:space="preserve">   5980 Texas Sales Tax</t>
  </si>
  <si>
    <t>Total Expenses</t>
  </si>
  <si>
    <t>Net Operating Income</t>
  </si>
  <si>
    <t>Other Income</t>
  </si>
  <si>
    <t xml:space="preserve">   6000 Revenue - Pass-Thru Items</t>
  </si>
  <si>
    <t xml:space="preserve">      6100 Band Fees - Optional Items</t>
  </si>
  <si>
    <t xml:space="preserve">      6150 Instrument Rental Fees</t>
  </si>
  <si>
    <t xml:space="preserve">      6400 Colorguard Activity Fund Revenue</t>
  </si>
  <si>
    <t xml:space="preserve">      6450 Colorguard Cadet Revenue</t>
  </si>
  <si>
    <t xml:space="preserve">      6600 Student Contest Fees-receipts</t>
  </si>
  <si>
    <t xml:space="preserve">      6700 Jazz Activity Fund Revenue</t>
  </si>
  <si>
    <t xml:space="preserve">      6800 Percussion Activity Fund Revenue</t>
  </si>
  <si>
    <t xml:space="preserve">      6850 Indoor Drumline Revenue</t>
  </si>
  <si>
    <t xml:space="preserve">      6860 SemiTrailer Revenue</t>
  </si>
  <si>
    <t xml:space="preserve">   Total 6000 Revenue - Pass-Thru Items</t>
  </si>
  <si>
    <t xml:space="preserve">   8250 Gain On Investment</t>
  </si>
  <si>
    <t>Total Other Income</t>
  </si>
  <si>
    <t>Other Expenses</t>
  </si>
  <si>
    <t xml:space="preserve">   7000 Expenses - Pass-Thru Items</t>
  </si>
  <si>
    <t xml:space="preserve">      7100 Band Fees Product Purchases</t>
  </si>
  <si>
    <t xml:space="preserve">      7150 Instrument Rental Expense</t>
  </si>
  <si>
    <t xml:space="preserve">      7400 Colorguard Activity Fund Exp</t>
  </si>
  <si>
    <t xml:space="preserve">      7450 Colorguard Cadet Expense</t>
  </si>
  <si>
    <t xml:space="preserve">      7600 Student Contest Fees--payment</t>
  </si>
  <si>
    <t xml:space="preserve">      7700 Jazz Activity Fund Expenses</t>
  </si>
  <si>
    <t xml:space="preserve">      7800 Percussion Activity Fund  Exp</t>
  </si>
  <si>
    <t xml:space="preserve">      7850 Indoor Drumline Expense</t>
  </si>
  <si>
    <t xml:space="preserve">      7860 SemiTrailer Expense</t>
  </si>
  <si>
    <t xml:space="preserve">   Total 7000 Expenses - Pass-Thru Items</t>
  </si>
  <si>
    <t>Total Other Expenses</t>
  </si>
  <si>
    <t>Net Other Income</t>
  </si>
  <si>
    <t>Net Income</t>
  </si>
  <si>
    <t xml:space="preserve">      Other Current Assets</t>
  </si>
  <si>
    <t xml:space="preserve">      Total Other Current Assets</t>
  </si>
  <si>
    <t xml:space="preserve">         1900 Prepaid Expenses</t>
  </si>
  <si>
    <t xml:space="preserve">         Total 1900 Prepaid Expenses</t>
  </si>
  <si>
    <t xml:space="preserve">      4690 Student Trip Account Transfer</t>
  </si>
  <si>
    <t>12/16/2021</t>
  </si>
  <si>
    <t>Pam McLane</t>
  </si>
  <si>
    <t xml:space="preserve">            1925 PPd-Marching Competitions (5140</t>
  </si>
  <si>
    <t xml:space="preserve">         6405 Winter Guard Accessories Revenue</t>
  </si>
  <si>
    <t xml:space="preserve">      Total 6400 Colorguard Activity Fund Revenue</t>
  </si>
  <si>
    <t>Lindsay Kusmierczak</t>
  </si>
  <si>
    <t>Andrew Hoskins</t>
  </si>
  <si>
    <t>02/01/2022</t>
  </si>
  <si>
    <t>Preston Hulse</t>
  </si>
  <si>
    <t>05/01/2022</t>
  </si>
  <si>
    <t xml:space="preserve">            1910 PPd-Drill Charts (5110)</t>
  </si>
  <si>
    <t>Ryan Ferreira</t>
  </si>
  <si>
    <t>Van Mathews</t>
  </si>
  <si>
    <t>Jodie Rhodes</t>
  </si>
  <si>
    <t>Nathan Rearick</t>
  </si>
  <si>
    <t>02/27/2022</t>
  </si>
  <si>
    <t>05/26/2022</t>
  </si>
  <si>
    <t>09/01/2022</t>
  </si>
  <si>
    <t>All student trip balances have now been cleared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</si>
  <si>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</si>
  <si>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</si>
  <si>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</si>
  <si>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</si>
  <si>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</si>
  <si>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</si>
  <si>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</si>
  <si>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</si>
  <si>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</si>
  <si>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</si>
  <si>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</si>
  <si>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</si>
  <si>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03/02/2022</t>
  </si>
  <si>
    <t>03/21/2022</t>
  </si>
  <si>
    <t>05/06/2022</t>
  </si>
  <si>
    <t>Leslie Guess</t>
  </si>
  <si>
    <t>Pro DJ Entertainment</t>
  </si>
  <si>
    <t>MHC Truck Leasing</t>
  </si>
  <si>
    <t xml:space="preserve">   4960 Transfer from Trip Account</t>
  </si>
  <si>
    <t>Items dep into 1185 need to xfer to 1130</t>
  </si>
  <si>
    <t>As of April 30, 2022</t>
  </si>
  <si>
    <t xml:space="preserve">            1915 PPd-Marching Consultant/Tech/Clinic (5115)</t>
  </si>
  <si>
    <t xml:space="preserve">            1917 PPd-Marching Sound Design (5117)</t>
  </si>
  <si>
    <t xml:space="preserve">            1918 PPd-Music Arrng Percussion (5118)</t>
  </si>
  <si>
    <t xml:space="preserve">            1919 PPd-Music Arrng-Brass/Woodwind (5119)</t>
  </si>
  <si>
    <t>04/12/2022</t>
  </si>
  <si>
    <t>Hall, Trina</t>
  </si>
  <si>
    <t>04/18/2022</t>
  </si>
  <si>
    <t>04/26/2022</t>
  </si>
  <si>
    <t>04/27/2022</t>
  </si>
  <si>
    <t>Bryan G Harston (1099)</t>
  </si>
  <si>
    <t>Tracy Lentz</t>
  </si>
  <si>
    <t>04/28/2022</t>
  </si>
  <si>
    <t>Fei Xie</t>
  </si>
  <si>
    <t>Bryan Harston (expenses only)</t>
  </si>
  <si>
    <t>Cathy Kolto</t>
  </si>
  <si>
    <t>Stephanie Pascal</t>
  </si>
  <si>
    <t>William Faulkner</t>
  </si>
  <si>
    <t>Brock Alsafar</t>
  </si>
  <si>
    <t>William Redd</t>
  </si>
  <si>
    <t>Brandon Slate</t>
  </si>
  <si>
    <t>First Financial online balance 05/01/22</t>
  </si>
  <si>
    <t>QBO balance 05/01/22</t>
  </si>
  <si>
    <t>Monday, May 02, 2022 02:47:52 PM GMT-7 - Cash Basis</t>
  </si>
  <si>
    <t>Monday, May 02, 2022 02:50:15 PM GMT-7 - Cash Basis</t>
  </si>
  <si>
    <t>Monday, May 02, 2022 02:50:49 PM GMT-7 - Cash Basis</t>
  </si>
  <si>
    <t xml:space="preserve">         1100 Student Trip Checking Acct.</t>
  </si>
  <si>
    <t xml:space="preserve">         1499 Undeposited Funds</t>
  </si>
  <si>
    <t xml:space="preserve">      Net Revenue</t>
  </si>
  <si>
    <t>Monday, May 02, 2022 03:55:49 PM GMT-7 - Accrual Basis</t>
  </si>
  <si>
    <t>Profit and Loss</t>
  </si>
  <si>
    <t xml:space="preserve">   4100 Annual Band Trip Receipts</t>
  </si>
  <si>
    <t xml:space="preserve">      4122 2022 Winter Guard Dayton OH Revenue</t>
  </si>
  <si>
    <t xml:space="preserve">      4162 2022 Disney Trip Revenue</t>
  </si>
  <si>
    <t xml:space="preserve">   Total 4100 Annual Band Trip Receipts</t>
  </si>
  <si>
    <t xml:space="preserve">   4990 Trip Account Forfeiture Income</t>
  </si>
  <si>
    <t>Total Revenue</t>
  </si>
  <si>
    <t>Expenditures</t>
  </si>
  <si>
    <t xml:space="preserve">   5100 Expenses re Annual Band Trip</t>
  </si>
  <si>
    <t xml:space="preserve">      5122 2022 Winter Guard Dayton OH Expenses</t>
  </si>
  <si>
    <t xml:space="preserve">      5162 Expenses re Annual Band Trip 2022 Disney Trip</t>
  </si>
  <si>
    <t xml:space="preserve">   Total 5100 Expenses re Annual Band Trip</t>
  </si>
  <si>
    <t xml:space="preserve">   8020 Transfer to General Fund</t>
  </si>
  <si>
    <t>Total Expenditures</t>
  </si>
  <si>
    <t>Net Operating Revenue</t>
  </si>
  <si>
    <t>Other Revenue</t>
  </si>
  <si>
    <t xml:space="preserve">   7010 Interest Income</t>
  </si>
  <si>
    <t>Total Other Revenue</t>
  </si>
  <si>
    <t>Net Other Revenue</t>
  </si>
  <si>
    <t>Net Revenue</t>
  </si>
  <si>
    <t>Monday, May 02, 2022 03:57:01 PM GMT-7 - Accrual Basis</t>
  </si>
  <si>
    <t>02/25/2020</t>
  </si>
  <si>
    <t>06/19/2020</t>
  </si>
  <si>
    <t>01/19/2022</t>
  </si>
  <si>
    <t>03/03/2022</t>
  </si>
  <si>
    <t>04/11/2022</t>
  </si>
  <si>
    <t>04/19/2022</t>
  </si>
  <si>
    <t>McFadden, Margaret</t>
  </si>
  <si>
    <t>Aleman, Enrique</t>
  </si>
  <si>
    <t>Andrews, Madhuri</t>
  </si>
  <si>
    <t>Brownfield , Brooke</t>
  </si>
  <si>
    <t>Marotta, Angela</t>
  </si>
  <si>
    <t>Thomas, Liz</t>
  </si>
  <si>
    <t>Crays, Laura</t>
  </si>
  <si>
    <t>Hiyas Fonte Tessnow</t>
  </si>
  <si>
    <t>Cress, Stephanie</t>
  </si>
  <si>
    <t>Surefire Promotions</t>
  </si>
  <si>
    <t>Clarke, David</t>
  </si>
  <si>
    <t>void</t>
  </si>
  <si>
    <t>Charity Rowe</t>
  </si>
  <si>
    <t>First Financial bank online balance 05/01/22</t>
  </si>
  <si>
    <t>water, drumline</t>
  </si>
  <si>
    <r>
      <t xml:space="preserve">      5175 Trailer Maintenance - Small Trailer</t>
    </r>
    <r>
      <rPr>
        <b/>
        <sz val="8"/>
        <color rgb="FFFF0000"/>
        <rFont val="Arial"/>
        <family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</si>
</sst>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.00"/>
    <numFmt numFmtId="167" formatCode="&quot;$&quot;#,##0"/>
  </numFmts>
  <fonts count="19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3" xfId="0" applyBorder="1" applyAlignment="1">
      <alignment wrapText="1"/>
    </xf>
    <xf numFmtId="43" fontId="0" fillId="0" borderId="0" xfId="0" applyNumberFormat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44" fontId="4" fillId="0" borderId="0" xfId="1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4" fillId="0" borderId="0" xfId="0" applyFont="1"/>
    <xf numFmtId="0" fontId="4" fillId="7" borderId="0" xfId="0" applyFont="1" applyFill="1" applyAlignment="1">
      <alignment horizontal="right"/>
    </xf>
    <xf numFmtId="14" fontId="8" fillId="0" borderId="0" xfId="0" applyNumberFormat="1" applyFont="1" applyAlignment="1">
      <alignment horizontal="right" wrapText="1"/>
    </xf>
    <xf numFmtId="0" fontId="8" fillId="8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14" fontId="8" fillId="9" borderId="0" xfId="0" applyNumberFormat="1" applyFont="1" applyFill="1" applyAlignment="1">
      <alignment horizontal="right" wrapText="1"/>
    </xf>
    <xf numFmtId="0" fontId="4" fillId="10" borderId="0" xfId="0" applyFont="1" applyFill="1" applyAlignment="1">
      <alignment horizontal="right"/>
    </xf>
    <xf numFmtId="166" fontId="0" fillId="0" borderId="0" xfId="0" applyNumberFormat="1"/>
    <xf numFmtId="166" fontId="0" fillId="8" borderId="0" xfId="0" applyNumberFormat="1" applyFill="1"/>
    <xf numFmtId="166" fontId="0" fillId="9" borderId="0" xfId="0" applyNumberFormat="1" applyFill="1"/>
    <xf numFmtId="0" fontId="4" fillId="0" borderId="4" xfId="0" applyFont="1" applyBorder="1"/>
    <xf numFmtId="0" fontId="0" fillId="0" borderId="4" xfId="0" applyBorder="1"/>
    <xf numFmtId="166" fontId="0" fillId="0" borderId="4" xfId="0" applyNumberFormat="1" applyBorder="1"/>
    <xf numFmtId="166" fontId="0" fillId="8" borderId="4" xfId="0" applyNumberFormat="1" applyFill="1" applyBorder="1"/>
    <xf numFmtId="166" fontId="0" fillId="9" borderId="4" xfId="0" applyNumberFormat="1" applyFill="1" applyBorder="1"/>
    <xf numFmtId="0" fontId="8" fillId="0" borderId="0" xfId="0" applyFont="1"/>
    <xf numFmtId="167" fontId="8" fillId="0" borderId="0" xfId="0" applyNumberFormat="1" applyFont="1"/>
    <xf numFmtId="0" fontId="4" fillId="10" borderId="0" xfId="0" applyFont="1" applyFill="1" applyAlignment="1">
      <alignment horizontal="left"/>
    </xf>
    <xf numFmtId="44" fontId="0" fillId="0" borderId="0" xfId="0" applyNumberFormat="1"/>
    <xf numFmtId="0" fontId="7" fillId="0" borderId="0" xfId="0" applyFont="1"/>
    <xf numFmtId="0" fontId="5" fillId="0" borderId="3" xfId="0" applyFont="1" applyBorder="1"/>
    <xf numFmtId="43" fontId="0" fillId="0" borderId="3" xfId="0" applyNumberFormat="1" applyBorder="1"/>
    <xf numFmtId="0" fontId="4" fillId="0" borderId="3" xfId="0" applyFont="1" applyBorder="1"/>
    <xf numFmtId="0" fontId="0" fillId="0" borderId="3" xfId="0" applyBorder="1"/>
    <xf numFmtId="0" fontId="6" fillId="0" borderId="0" xfId="0" applyFont="1"/>
    <xf numFmtId="0" fontId="6" fillId="0" borderId="4" xfId="0" applyFont="1" applyBorder="1"/>
    <xf numFmtId="0" fontId="5" fillId="0" borderId="0" xfId="0" applyFont="1"/>
    <xf numFmtId="44" fontId="0" fillId="0" borderId="4" xfId="0" applyNumberFormat="1" applyBorder="1"/>
    <xf numFmtId="0" fontId="5" fillId="2" borderId="3" xfId="0" applyFont="1" applyFill="1" applyBorder="1"/>
    <xf numFmtId="44" fontId="0" fillId="2" borderId="3" xfId="0" applyNumberFormat="1" applyFill="1" applyBorder="1"/>
    <xf numFmtId="0" fontId="0" fillId="2" borderId="0" xfId="0" applyFill="1"/>
    <xf numFmtId="44" fontId="0" fillId="2" borderId="0" xfId="0" applyNumberFormat="1" applyFill="1"/>
    <xf numFmtId="0" fontId="0" fillId="2" borderId="4" xfId="0" applyFill="1" applyBorder="1"/>
    <xf numFmtId="44" fontId="0" fillId="2" borderId="4" xfId="0" applyNumberFormat="1" applyFill="1" applyBorder="1"/>
    <xf numFmtId="0" fontId="5" fillId="2" borderId="0" xfId="0" applyFont="1" applyFill="1"/>
    <xf numFmtId="44" fontId="4" fillId="2" borderId="0" xfId="0" applyNumberFormat="1" applyFont="1" applyFill="1"/>
    <xf numFmtId="0" fontId="5" fillId="8" borderId="3" xfId="0" applyFont="1" applyFill="1" applyBorder="1"/>
    <xf numFmtId="44" fontId="0" fillId="8" borderId="3" xfId="0" applyNumberFormat="1" applyFill="1" applyBorder="1"/>
    <xf numFmtId="0" fontId="0" fillId="8" borderId="0" xfId="0" applyFill="1"/>
    <xf numFmtId="44" fontId="0" fillId="8" borderId="0" xfId="0" applyNumberFormat="1" applyFill="1"/>
    <xf numFmtId="0" fontId="0" fillId="8" borderId="4" xfId="0" applyFill="1" applyBorder="1"/>
    <xf numFmtId="44" fontId="0" fillId="8" borderId="4" xfId="0" applyNumberFormat="1" applyFill="1" applyBorder="1"/>
    <xf numFmtId="0" fontId="5" fillId="8" borderId="0" xfId="0" applyFont="1" applyFill="1"/>
    <xf numFmtId="44" fontId="4" fillId="8" borderId="0" xfId="0" applyNumberFormat="1" applyFont="1" applyFill="1"/>
    <xf numFmtId="166" fontId="4" fillId="0" borderId="0" xfId="0" applyNumberFormat="1" applyFont="1"/>
    <xf numFmtId="8" fontId="0" fillId="0" borderId="0" xfId="0" applyNumberFormat="1"/>
    <xf numFmtId="164" fontId="2" fillId="0" borderId="0" xfId="0" applyNumberFormat="1" applyFont="1" applyAlignment="1">
      <alignment horizontal="right" wrapText="1"/>
    </xf>
    <xf numFmtId="8" fontId="0" fillId="2" borderId="0" xfId="0" applyNumberFormat="1" applyFill="1"/>
    <xf numFmtId="0" fontId="2" fillId="0" borderId="0" xfId="0" applyFont="1" applyAlignment="1">
      <alignment horizontal="left" wrapText="1"/>
    </xf>
    <xf numFmtId="39" fontId="2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8" fontId="0" fillId="0" borderId="4" xfId="0" applyNumberFormat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39" fontId="13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5" fontId="15" fillId="0" borderId="2" xfId="0" applyNumberFormat="1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/>
    <xf numFmtId="164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15" fillId="0" borderId="2" xfId="0" applyNumberFormat="1" applyFont="1" applyBorder="1" applyAlignment="1">
      <alignment horizontal="right" wrapText="1"/>
    </xf>
    <xf numFmtId="43" fontId="0" fillId="0" borderId="4" xfId="0" applyNumberForma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8FF073-EB67-442C-8E3B-3DC8E33DF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D61904-7EEB-4CC2-8849-CC0A9F5C4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8F4CC3-191D-4F96-91F6-317DC8010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31EC41-7D97-4702-B26B-AD3AC985E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395F9B-8120-4487-9814-5FE747BFD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8E9F38-29D5-4E82-83F6-75CF04864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066161-97C0-443D-9CA8-652EE6B7E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650FF8-2B5D-4EAB-9625-674D6E6B4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B5150D4-B7FE-4493-BFA1-97ED1D219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B1FDDD-08ED-4D51-8BFC-C3388F962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BECDE33-8C19-4B95-B094-C5063C5A8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517FC71-9BFF-4647-B0FC-08795880B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A6918A5-AB26-4472-82CC-7E97AF54B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831B4B7-76DF-4C74-80B1-A8A467E1C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5591B65-2843-459D-8B59-1A67376BF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1A5C213-2412-4517-80DE-805A1DA3D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F39894D-58AF-43F5-88C9-B0807606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17C3D68-2394-4699-A63A-961B46F35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ABD306A-8008-42F2-98FC-77BB9EFA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5B73675-6A5B-4A03-8F44-6A3F910D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2F750E3-5CCC-42A2-91AD-186408CAA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F0CAC10-CFB0-4554-AA93-124E9053B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4A3D241-E8C7-4F5D-8AA9-DD0C01435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1AEEB9F-BBA4-4B5C-8E02-99E670535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350E86D-E17E-43BB-8538-3CDD40DD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CADAF78-C30A-423C-A4C2-D2634E9C7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11D62A4-187D-4EC7-8270-47F737CD3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D12B3EE-ED34-4BB0-810C-C11C01183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4F13D64-A20E-4AFC-BD23-241CCE8DC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18367D2-1A1D-41F2-B0FE-E386AD61C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5CE5E61-D64C-4712-ACE1-0DBDAA28A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76785C60-0E43-4933-96B3-81F0B0AC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91AB501E-3117-4C9E-A1EB-7E40A800B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32914C3-B2AC-4FE2-8974-E5BD03CD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C9B3C758-D5AE-406C-A607-07D6B95C2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393195A-B4DA-4CAE-8842-2D8F2B83C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4C7D020-B41E-476F-AE10-DF5B4DE05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6895B77-20C1-41DB-BD9F-A95D807B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CE32CCB0-FCF8-4354-8C0C-6257A8F3C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F7EED5D7-5765-485E-BF69-97CB0242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6D732B4-45CB-4AE7-9DF6-FFC49C36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5B35B715-8E3A-4048-8E0C-F82F1FD18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D5EACD7A-1E01-40D7-99B9-805277FBD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337EFF3-EC3A-4517-8809-17E3B6DF7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3A1809C4-E25C-49DF-8809-B969314B9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2B64CA0-B508-4CDA-A68B-14C026E85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7A4EDEB1-7DBE-4784-9FDF-292808F2B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43E7B5E7-F6B5-4322-A20F-AA4E49DF6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44022A2C-3EE7-4A76-AEA9-6F818F7C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38283FBA-D862-438D-A0C9-21D3D68BE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8D0CBDE-8B71-4635-87F0-D98F3C65B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9883D117-BC23-4FD1-950A-F71F6D24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BC9F7BE1-D2BD-46EF-8DF2-D5B9FD9B8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C91AD0CB-B4AF-498C-93CC-E1FC5F106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3CBB8394-4E9A-4368-8B25-49F31F7E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66CC7AE8-81EC-41F0-9E94-419EB02AC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C024BADF-7957-4C4E-B6F6-F85C442A4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7FD7E28E-9690-4628-A4DC-1ED63612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29C6B92D-28AF-430A-A8C0-21571BCAD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9F9CF4E6-DF64-480F-8054-EF38B1945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F12F69A5-A980-456C-94CF-CCEC7182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DAA59E69-6EC4-446E-B7DD-39E79389D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FEA901DB-2CB3-4218-B816-3E30DF06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830EC3F4-EFAA-4118-81B4-9E3EDBE73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7AAF08E7-A570-482D-8689-5BD76FF51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20E386A9-4AFA-47C6-B873-53DC1ECB6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2809CE34-3483-44A1-82B0-0B9999649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AAE46E59-1B8C-49B8-8124-CDD3A7188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2D525446-B445-419D-9BCE-520D26B54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64026850-4BE8-44DE-B0AB-65EDCA4E4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86B406C5-3679-4CE3-9839-ADFD37256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796A7CE-447D-40D1-BEC5-187D323DC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3EE5C45-7F35-4356-B197-386424222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96349DFA-D502-40BD-813B-A1092D7BB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8864377F-CBC5-4147-87E9-67B594337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2FE897DB-E009-46A9-9DEC-8FEF37B24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CCEA6362-5D5E-46A0-8883-452E526A8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FB0B8653-504B-454F-9BCD-12193E673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7B6A3994-A4F3-41AB-8B68-190AB3E6E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9AA8C4BB-5F86-4F17-A205-B5015C4A5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BAD93B0B-67CA-4AA8-8C13-D92EB7658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8579CD17-ACD7-40EF-9FD3-D45D9799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8909D206-D93D-4088-8729-BCC6474F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72BE31F8-D27B-4740-8048-16EE66DF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D1D69A54-2813-4190-A068-D22BF5B46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EEF353A8-4BA3-420D-B649-AD910953C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1BA9DBE7-51AF-4FE2-A968-0A2818DC1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7505FE20-C66A-4A02-99EA-B763358CD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2475BA6A-C120-4351-8F2B-4987BE3B1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789160D6-978F-4FFC-90F7-E4EFEAA49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2E04A5E-ED76-47EA-A7CF-348F7C9BD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D30371CF-A89F-4D91-AF9A-490B3AB50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288566F5-F742-413C-87CF-C199F9FDB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302A8C5C-6863-48DF-8948-A9145F918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B13261A5-8141-437D-BE10-51E46F2C7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7DBBCBD7-E305-4637-A06B-7A73D424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A5243500-721B-45E9-A0BF-23A118708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82050A50-69E4-466F-B142-D704713C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F6CA373B-8CE6-4016-8DBC-B7D8D6C6C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58A0754E-672C-4D8E-8381-D6D82FF36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B4998958-3DED-4885-9130-E0245F9C2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8D364AFE-B952-44D9-B681-1CB5C85A5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6C923017-399E-42A3-810F-6D8C37761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4B5AA5BF-7259-4D57-B10D-772E8C48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1049DCBF-50FB-4134-8501-7D5BC390B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9630065D-2BB2-4B49-9CEF-52BE2436C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3C617E56-47F4-4776-9F89-414DDB63B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DDB59107-FE1D-4330-A131-0DEB74E4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C74D6D82-470A-4649-B734-9C84A29A7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B6E489E-2CDD-4124-9201-AFA73EBAF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22A9453E-3355-4448-84B3-9BEBA328E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345CF742-30EF-4B7D-B1C3-3ED169CF5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820649-F3D9-43E5-B981-CF2863224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797D7FB-54C4-487B-8E6C-0C12F867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C93FB508-6C39-4A2B-83AA-3388134A5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C32B103E-0717-4DBE-9413-9EC194EDC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CE74E1F-8D68-4325-B11E-16AC71090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F18BF70E-7FDF-4B8E-861A-57B9E4A5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81CAE5BB-41C5-41A8-82CD-9D4B0E788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B4E72653-B603-40CF-82F7-84AAE31EE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926F38D1-8AC3-4DDB-858F-E02DAE271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72E65E2E-C0CB-419E-82FA-13ED792CD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950B23FF-6307-4682-81F0-02AE4656A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7B57DCDF-22E3-4083-8794-E6D03283D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2F4BBEFC-033A-4817-9468-6AF91038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CBC07848-6424-4E5B-A890-7924FE3A5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695B4789-D7ED-41B3-9818-6F8EC3688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C66E5B0D-3DE4-4E08-9708-E06DCBA9F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BEDC83BD-8990-4955-8F18-17C0FFFFE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276EABB6-7DAD-447B-908C-9ED4A408C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CB3592E5-FAC8-4BFB-8D45-3768C3F30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E03F07B3-DECF-4F61-9A92-C549C1624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B7C9387F-A168-4F4C-8519-7C5045EDC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E2A8BF85-3798-4012-9BD4-F6B50C144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F4802B6-5BFC-4C03-8DD0-0E42BAAD6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73D01FED-0BD3-45E9-AD0C-5E14E687E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3B524972-1AD3-4EBF-AF2F-246328C41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9BC24145-570B-46B7-9CB3-0AB2EC3E7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B7855A95-6400-4776-9DDF-3D740FDE9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605B725-B339-4EBE-B7C5-2FA292350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744F92F2-1508-49C1-94DB-395EB6FE9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60FDD47-20B8-4C85-9D67-C1B9D236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4EE0C1DB-9E19-4FE3-A9EA-E1377286D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B69CE2A0-70AA-44F2-8D42-77010CF2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EFAD798-D51E-4F19-85E3-88AE53F7F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2FBBA6D6-1DE0-4CFF-91A3-C985440D0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E919A54A-6899-4F3D-9092-2DE4401B0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74DAEDBC-CF39-4E73-A02B-E6DAB9EEC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942872E2-FC53-4088-A6C8-5C2BCF3BD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3664D057-D215-42CA-B0DE-445FD989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D54AAD31-3C8D-4450-8844-81B8F3E99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2B292F8-61D3-4861-AF06-5A184CFC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AD1D4A2A-A256-42BC-87FB-C42AAE5B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D08D5B36-455F-4EF9-902D-65CBD2565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DB982F2C-216F-4D59-BE49-AEEFA89D9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4437900D-DAE3-4173-A52C-B3CAE9950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F76DA402-5E7A-4B2A-B436-B6BACAA31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9811E043-E335-472C-859E-728343696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1399EF1D-8C41-495E-ACCA-7546ECB2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52ACA9E3-2739-4C17-8626-47681295C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D75F3E5C-F107-4594-8C5A-445BD6CCB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1B82C92A-66A1-44B4-821F-9C5DDC297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AD96429D-FC74-4F23-8970-52196FD6D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1968B88A-8A62-451F-BDCF-2E9E4A26C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9A2B89CC-895F-4747-A924-49DAA36F3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922EFE04-73DA-4F22-9549-EC5D07E2D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601A30FB-0282-4FAC-AE83-B7287E9EC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1CBB0727-F79C-4178-9AC1-93F722EB3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4AC7845B-939C-456C-9368-C6771D016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9931D64C-EAF6-4DA1-BE46-DF86BFFE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D6E077DB-A149-4F28-84F9-1307E7DBB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2DB217BD-897A-4F4B-BCC7-97CE53E6B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C89CB36C-E4C3-4F23-A35B-2728A6D70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BC48D48E-6347-47DC-9B77-87C326DC9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EC1ADEF-BBE7-45F5-A055-E63F3D00A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30051306-C2D5-403B-8584-2C8DD7E91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697C5465-9834-491D-BF25-CAA627093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4469404F-10F0-4BEC-A12F-EEADD0ED7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B9CFD011-D1C9-426A-B8C0-825369A59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E8D7977B-6043-4ABA-AE80-FCB560C52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5998C041-F5C7-4AA2-BF0C-467F0985D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624D0D82-9C52-4061-8B53-61AAC2BE7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4CC1AD7B-6D60-495F-9F48-FB598B1DC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B6239598-9863-41E0-8BBF-771FC6FAE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F654DC96-3546-447B-9DC7-6084CE584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4626C7AF-BB53-4A8A-ADF2-4D7EE15D8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57057CFD-9AEC-4B58-B1F8-48FA390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99DCB3FB-F3CE-487B-97EE-5C14876FD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D204AB2A-E1BA-4801-8BB2-D300DF6C2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F5485DBB-BEF1-49CB-BB83-EB9905376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FBAD2E25-9D96-4097-962A-C0472DAFB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3D10FCA5-D671-48AF-B961-98191B12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5DFF3849-9EBD-4AF7-A8A3-00006CAB8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70ED7BFB-ADA1-4E7F-946F-C4184B96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B047C666-BFAA-48D4-A1EB-3BC7256C7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D289229A-F361-42DF-904C-1E9633BC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EDFFE0D4-1F68-4704-9D77-937DCC09A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59EE8BAF-2DA6-48A3-82DD-A61A8ABEF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DDA3847A-8D9E-49C5-99A1-35FE96D6A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AF2411AB-ACD8-408E-AAD6-A5340DAFC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3B3C7837-239D-4D7D-B829-A15947773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C9DD7D54-6F28-41CA-B342-A08C9C728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16C94C18-FE14-4216-BA71-90C684FA2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25AB186B-80A2-4633-81C9-2FA732DC5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8923FE49-D185-495A-B979-0AC763C8B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7D5DF2E5-208A-41A4-891C-ED29CFE82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98F1CC02-2BA6-47AE-BBC3-2EEFEDB4B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E036A432-1E32-4F0B-980B-A82D78C3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572CD63-8CC7-40A2-B7CA-9A01E3B8A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5B46BB6E-B13F-44AC-BAEA-CC268FADB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B15936D6-A31B-42E0-9C99-4D51C1E89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5B223101-72A8-4EE3-89E0-6514E550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1FA5D30E-0661-4372-AAEC-2BD0A94EA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4DB6BA1C-0E98-4468-866C-BEDEB974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1A3DBA21-B6E2-4DB4-A617-E8973CEBA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1D8F42C4-71D4-4BF9-BB07-AFE3134E2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E31522FF-4B3B-4FC2-8089-EB8B0E0AE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7BBA6E98-4077-476A-9494-201503FE0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32E76D7F-6621-4A27-968E-D8B000BE4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B5C5BC3D-3FA3-461A-A3C9-D06E1C2EF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CC5A07D4-DA8C-463C-9BBE-CA535BFEF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516522D2-86D7-4539-B70E-63953F07F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A08D115-E5CC-4D97-8061-AB3FF01A0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DD87D621-C94D-46D3-82AD-83D92AD2F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E1549AD8-C9FC-4F0B-9E3F-A84AD9BBE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65D9C364-B58B-4825-B2C8-0EC30509B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19DBB083-34E3-4516-83C5-8159F66A2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B52039C4-DC3E-450A-A91A-74380F962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1DEB3CDB-2FF1-44B8-9FA9-F0DE303E9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456B58EB-9C64-40F5-AF6E-7545F6DB0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2914D8F0-7A95-4773-976C-233E4FCF0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FE14C6B5-2D3C-4980-89C1-5EC2940CF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AE18C824-05B3-428F-A59A-7AB4C58CB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1527C0E-69CB-4AFF-88EE-142D14623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FA30BEB4-27A5-4208-8466-D56A83C72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53268AEF-825C-4E0D-99A5-A9ED64C1E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76782CEE-B01D-43A4-9630-69E219003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4B395C24-5012-40E3-A5D3-342052E7E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31EA91E7-9E95-4BA8-B09C-02F53BAD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95D3451A-D4BE-474B-A78F-6845209C5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A1D84124-5349-4A96-8DD7-C3FB7F57C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AFE396CB-DDB3-4A16-B0DF-D0004C2C2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262F6692-3368-4E44-800A-C46DEE9F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297ECA62-44A4-419C-8BF7-987805D60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34D7A5D0-6751-45CA-A813-73CA7665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17AE51A5-5A24-4A86-8ED8-8466A74F7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E77998E5-7097-4CEA-B983-0C19A5F2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20CF0326-46F2-4B67-8AE2-E875CEF47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EF2E0411-5340-4AB4-BF8E-4598927F0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C4D63C62-F1E0-49A5-A594-EE9D72DCE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20DCC754-6480-4F8C-BCB7-375C659E2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F9C6DCD2-F9F1-4CC1-8651-8CD6D5F40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7178B0DB-C741-41C1-83FC-EAA56B1C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A071EEF0-DC8A-48EB-A60B-E60A09ED9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F09D520C-BEB4-4543-AA09-22000C75B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732A363D-27CD-4F78-B450-4360C2311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917CD0E9-1EBB-4C76-9A5E-B49D53A39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671993BB-2B7F-46FA-9F58-F3E7328A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68533958-035E-4117-9F08-343E64CA9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9BCAEA0D-9DF4-4FA6-8031-86CE2DCED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45749601-E8E0-44F7-A4C9-262045AD9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74A5B22A-ACF1-4BFB-8ECC-FE400B4CA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158131AD-4D61-449D-BEAE-036CC5BE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6AB2F1F2-9513-4A95-AEA9-FE98C7E16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2BEE5AF3-067E-447C-B0CD-3ED687178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756E5352-BCEC-4783-A6E8-6D9B098B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C6EF8DAA-0E92-4DDB-AA98-1028169B1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3269DFC7-77AF-41A7-A0A9-345A20EE4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93B794BE-440C-404E-A81E-8A454C4AF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CA3CE738-08CE-4410-87FE-7EF38712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BBF4FC5B-C278-41CD-839D-189C5C9EF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90C8F6E9-AD3B-4AB1-85BF-101176520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ECF59C6F-D6FF-4EAA-AFD3-A8F2C13BE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5BAAE546-B407-4FDF-8FFB-ADB9D1DE3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A43B8BD2-3923-4B83-AE41-2A83D5E10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26D36B06-5A13-40C6-8A11-BE24A6365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B2E46A3B-9481-4A49-9516-00D96EEAB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EBFDE548-CCA8-46C3-ACC0-A641600C6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29D96B46-0827-46F2-A604-B3DDA5AE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9D57430E-9D24-468F-9FAB-BEC02A216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C6732520-00BD-483C-9668-5A5B0EF49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7ABFAAD8-4BD9-4505-871E-33D2DA69F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F16C787E-6195-496B-BACD-8DE4D03A0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C7368141-E7E3-4B03-8071-8320B826A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6980E9CB-226F-47FC-8CE0-FFBA573BE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793F8996-1C72-44FC-9ED1-DD05964B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568C73EB-420E-4DF1-90F2-93AA47DBD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9B67B5BB-0680-439C-A0F9-494C0C75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ACF45466-2E63-4FF8-B0AD-321CC1A1F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7E9F4478-8836-4024-921D-3D68AA7F2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8758B412-C6A9-44DC-B5EE-B04DCB801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C1E9BCBD-C016-49D7-A3C2-A80392ABA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871EAD4E-4176-46FF-A37B-62FB5DB9D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C7A93707-D72F-4438-97C0-4C889832B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D82430B6-4CD1-40F2-B30F-F2DA4FE53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A6181179-D955-469C-9930-9F172DFBE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1E9F9689-CC01-4B52-AD4A-39E4049E8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CD4A4FDA-4775-4CDC-98D8-E88F5AA58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FEBC3FBE-BA5E-4656-8FC1-9D853D2CD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ECD0FDFF-63F2-48CB-9C5E-5933EB598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68E2795A-0917-433E-BE6D-DE7B83E6B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4205CD87-9D52-4EF5-BB4B-BBDD03689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0" name="Picture 299">
          <a:extLst>
            <a:ext uri="{FF2B5EF4-FFF2-40B4-BE49-F238E27FC236}">
              <a16:creationId xmlns:a16="http://schemas.microsoft.com/office/drawing/2014/main" id="{9226A98F-66F9-41C1-BD8C-2C940DD13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1" name="Picture 300">
          <a:extLst>
            <a:ext uri="{FF2B5EF4-FFF2-40B4-BE49-F238E27FC236}">
              <a16:creationId xmlns:a16="http://schemas.microsoft.com/office/drawing/2014/main" id="{98A84DC6-F0F1-407A-91A6-A08D0CA2F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96323EA2-D688-4B38-8F06-31417B731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E4668093-86D6-4111-A7DF-F9F496197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4" name="Picture 303">
          <a:extLst>
            <a:ext uri="{FF2B5EF4-FFF2-40B4-BE49-F238E27FC236}">
              <a16:creationId xmlns:a16="http://schemas.microsoft.com/office/drawing/2014/main" id="{ADD24409-3CF0-4884-89A5-5D18DFD6F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5" name="Picture 304">
          <a:extLst>
            <a:ext uri="{FF2B5EF4-FFF2-40B4-BE49-F238E27FC236}">
              <a16:creationId xmlns:a16="http://schemas.microsoft.com/office/drawing/2014/main" id="{031B7329-E616-4722-AE3A-356511D8B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6" name="Picture 305">
          <a:extLst>
            <a:ext uri="{FF2B5EF4-FFF2-40B4-BE49-F238E27FC236}">
              <a16:creationId xmlns:a16="http://schemas.microsoft.com/office/drawing/2014/main" id="{8FF92574-881E-44FF-A709-AB73FD4F7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7" name="Picture 306">
          <a:extLst>
            <a:ext uri="{FF2B5EF4-FFF2-40B4-BE49-F238E27FC236}">
              <a16:creationId xmlns:a16="http://schemas.microsoft.com/office/drawing/2014/main" id="{0C21D56A-BFBF-45C4-A450-9101CC993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8" name="Picture 307">
          <a:extLst>
            <a:ext uri="{FF2B5EF4-FFF2-40B4-BE49-F238E27FC236}">
              <a16:creationId xmlns:a16="http://schemas.microsoft.com/office/drawing/2014/main" id="{46651B5D-7AC6-4248-AA44-4FC594C2B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09" name="Picture 308">
          <a:extLst>
            <a:ext uri="{FF2B5EF4-FFF2-40B4-BE49-F238E27FC236}">
              <a16:creationId xmlns:a16="http://schemas.microsoft.com/office/drawing/2014/main" id="{77744786-96D1-4638-BA3B-E6DA75FC3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0" name="Picture 309">
          <a:extLst>
            <a:ext uri="{FF2B5EF4-FFF2-40B4-BE49-F238E27FC236}">
              <a16:creationId xmlns:a16="http://schemas.microsoft.com/office/drawing/2014/main" id="{027807A1-B272-4159-BD7C-65C001232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1" name="Picture 310">
          <a:extLst>
            <a:ext uri="{FF2B5EF4-FFF2-40B4-BE49-F238E27FC236}">
              <a16:creationId xmlns:a16="http://schemas.microsoft.com/office/drawing/2014/main" id="{B00FAEC5-E7F1-4591-81E9-A32E1A867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2" name="Picture 311">
          <a:extLst>
            <a:ext uri="{FF2B5EF4-FFF2-40B4-BE49-F238E27FC236}">
              <a16:creationId xmlns:a16="http://schemas.microsoft.com/office/drawing/2014/main" id="{891BC3B4-0433-4059-BE7C-405509552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3" name="Picture 312">
          <a:extLst>
            <a:ext uri="{FF2B5EF4-FFF2-40B4-BE49-F238E27FC236}">
              <a16:creationId xmlns:a16="http://schemas.microsoft.com/office/drawing/2014/main" id="{131F3541-8296-40D4-A490-B25162644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4" name="Picture 313">
          <a:extLst>
            <a:ext uri="{FF2B5EF4-FFF2-40B4-BE49-F238E27FC236}">
              <a16:creationId xmlns:a16="http://schemas.microsoft.com/office/drawing/2014/main" id="{AB5A0062-92B7-4C1F-852E-17659DF0F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5" name="Picture 314">
          <a:extLst>
            <a:ext uri="{FF2B5EF4-FFF2-40B4-BE49-F238E27FC236}">
              <a16:creationId xmlns:a16="http://schemas.microsoft.com/office/drawing/2014/main" id="{5763C19E-2207-4D7A-80ED-B05DAFB5C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6" name="Picture 315">
          <a:extLst>
            <a:ext uri="{FF2B5EF4-FFF2-40B4-BE49-F238E27FC236}">
              <a16:creationId xmlns:a16="http://schemas.microsoft.com/office/drawing/2014/main" id="{176F78A3-9FE9-4D54-AB8E-D1E5FAAE1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7" name="Picture 316">
          <a:extLst>
            <a:ext uri="{FF2B5EF4-FFF2-40B4-BE49-F238E27FC236}">
              <a16:creationId xmlns:a16="http://schemas.microsoft.com/office/drawing/2014/main" id="{1F9F4E92-B086-4920-AC37-A171725C8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8" name="Picture 317">
          <a:extLst>
            <a:ext uri="{FF2B5EF4-FFF2-40B4-BE49-F238E27FC236}">
              <a16:creationId xmlns:a16="http://schemas.microsoft.com/office/drawing/2014/main" id="{5EE98798-45D2-48E5-9CA8-859BB3749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19" name="Picture 318">
          <a:extLst>
            <a:ext uri="{FF2B5EF4-FFF2-40B4-BE49-F238E27FC236}">
              <a16:creationId xmlns:a16="http://schemas.microsoft.com/office/drawing/2014/main" id="{D76A0874-1C05-492D-8A1B-47EB39D55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0" name="Picture 319">
          <a:extLst>
            <a:ext uri="{FF2B5EF4-FFF2-40B4-BE49-F238E27FC236}">
              <a16:creationId xmlns:a16="http://schemas.microsoft.com/office/drawing/2014/main" id="{F75CF3DD-C1EC-4443-BC51-F31F8F084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1" name="Picture 320">
          <a:extLst>
            <a:ext uri="{FF2B5EF4-FFF2-40B4-BE49-F238E27FC236}">
              <a16:creationId xmlns:a16="http://schemas.microsoft.com/office/drawing/2014/main" id="{87514DEC-F8AD-4C50-A8B5-80CDCCC09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2" name="Picture 321">
          <a:extLst>
            <a:ext uri="{FF2B5EF4-FFF2-40B4-BE49-F238E27FC236}">
              <a16:creationId xmlns:a16="http://schemas.microsoft.com/office/drawing/2014/main" id="{0E349090-5C46-4FC7-BFAC-FF8DA31F0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3" name="Picture 322">
          <a:extLst>
            <a:ext uri="{FF2B5EF4-FFF2-40B4-BE49-F238E27FC236}">
              <a16:creationId xmlns:a16="http://schemas.microsoft.com/office/drawing/2014/main" id="{0754599D-2847-4092-8348-41BF8A3CA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4" name="Picture 323">
          <a:extLst>
            <a:ext uri="{FF2B5EF4-FFF2-40B4-BE49-F238E27FC236}">
              <a16:creationId xmlns:a16="http://schemas.microsoft.com/office/drawing/2014/main" id="{A72B6A6B-8476-4261-80CD-5A5197826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5" name="Picture 324">
          <a:extLst>
            <a:ext uri="{FF2B5EF4-FFF2-40B4-BE49-F238E27FC236}">
              <a16:creationId xmlns:a16="http://schemas.microsoft.com/office/drawing/2014/main" id="{C9806D06-E948-49FD-88D9-AE3760A74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6" name="Picture 325">
          <a:extLst>
            <a:ext uri="{FF2B5EF4-FFF2-40B4-BE49-F238E27FC236}">
              <a16:creationId xmlns:a16="http://schemas.microsoft.com/office/drawing/2014/main" id="{55BC3077-73DE-4B7E-B8E7-3DBA10219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7" name="Picture 326">
          <a:extLst>
            <a:ext uri="{FF2B5EF4-FFF2-40B4-BE49-F238E27FC236}">
              <a16:creationId xmlns:a16="http://schemas.microsoft.com/office/drawing/2014/main" id="{B6CE8A72-F694-43B6-B71A-F53587A5D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8" name="Picture 327">
          <a:extLst>
            <a:ext uri="{FF2B5EF4-FFF2-40B4-BE49-F238E27FC236}">
              <a16:creationId xmlns:a16="http://schemas.microsoft.com/office/drawing/2014/main" id="{9E42C633-A0FE-4C08-98DA-E4B987E3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C24F503E-8628-476A-AF30-1D80EE251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0" name="Picture 329">
          <a:extLst>
            <a:ext uri="{FF2B5EF4-FFF2-40B4-BE49-F238E27FC236}">
              <a16:creationId xmlns:a16="http://schemas.microsoft.com/office/drawing/2014/main" id="{87FFB797-7A5E-4330-9FDE-9EDCB4BCF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94C69F35-BB3E-493F-AC23-069AC4491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2" name="Picture 331">
          <a:extLst>
            <a:ext uri="{FF2B5EF4-FFF2-40B4-BE49-F238E27FC236}">
              <a16:creationId xmlns:a16="http://schemas.microsoft.com/office/drawing/2014/main" id="{0523C157-0E75-4026-8A77-1AF8561F0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3" name="Picture 332">
          <a:extLst>
            <a:ext uri="{FF2B5EF4-FFF2-40B4-BE49-F238E27FC236}">
              <a16:creationId xmlns:a16="http://schemas.microsoft.com/office/drawing/2014/main" id="{20E8372D-6E1F-415E-ABEC-9BF2BBF22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4" name="Picture 333">
          <a:extLst>
            <a:ext uri="{FF2B5EF4-FFF2-40B4-BE49-F238E27FC236}">
              <a16:creationId xmlns:a16="http://schemas.microsoft.com/office/drawing/2014/main" id="{6B3C5DCA-888F-484B-9F0C-0DA98128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5" name="Picture 334">
          <a:extLst>
            <a:ext uri="{FF2B5EF4-FFF2-40B4-BE49-F238E27FC236}">
              <a16:creationId xmlns:a16="http://schemas.microsoft.com/office/drawing/2014/main" id="{092CFF26-D42F-4902-9EA2-EC6EE7CD5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6" name="Picture 335">
          <a:extLst>
            <a:ext uri="{FF2B5EF4-FFF2-40B4-BE49-F238E27FC236}">
              <a16:creationId xmlns:a16="http://schemas.microsoft.com/office/drawing/2014/main" id="{225699B3-00BA-47DA-8C7B-05640C91F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id="{8506BF15-325C-4D51-9675-75DCCD2F2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id="{FEE1192E-1BE5-4C4B-A692-2538EBC18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39" name="Picture 338">
          <a:extLst>
            <a:ext uri="{FF2B5EF4-FFF2-40B4-BE49-F238E27FC236}">
              <a16:creationId xmlns:a16="http://schemas.microsoft.com/office/drawing/2014/main" id="{EEBF1B7D-1006-4E86-9554-65D7D3C8A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0" name="Picture 339">
          <a:extLst>
            <a:ext uri="{FF2B5EF4-FFF2-40B4-BE49-F238E27FC236}">
              <a16:creationId xmlns:a16="http://schemas.microsoft.com/office/drawing/2014/main" id="{E2421991-926A-46A3-A18B-8D00A5849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id="{7D4BB364-9CB6-4DB7-9157-D2DFB6410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2" name="Picture 341">
          <a:extLst>
            <a:ext uri="{FF2B5EF4-FFF2-40B4-BE49-F238E27FC236}">
              <a16:creationId xmlns:a16="http://schemas.microsoft.com/office/drawing/2014/main" id="{0A04C8C1-18A3-442C-B4D2-CC8C4212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3" name="Picture 342">
          <a:extLst>
            <a:ext uri="{FF2B5EF4-FFF2-40B4-BE49-F238E27FC236}">
              <a16:creationId xmlns:a16="http://schemas.microsoft.com/office/drawing/2014/main" id="{780504FA-88D1-4A86-A4DC-1E2C1E82D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4" name="Picture 343">
          <a:extLst>
            <a:ext uri="{FF2B5EF4-FFF2-40B4-BE49-F238E27FC236}">
              <a16:creationId xmlns:a16="http://schemas.microsoft.com/office/drawing/2014/main" id="{0D9BE4B7-17FF-48D0-80E6-AAC33E9A1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5" name="Picture 344">
          <a:extLst>
            <a:ext uri="{FF2B5EF4-FFF2-40B4-BE49-F238E27FC236}">
              <a16:creationId xmlns:a16="http://schemas.microsoft.com/office/drawing/2014/main" id="{EED1E322-C9C5-4C29-A072-FB8467A6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6" name="Picture 345">
          <a:extLst>
            <a:ext uri="{FF2B5EF4-FFF2-40B4-BE49-F238E27FC236}">
              <a16:creationId xmlns:a16="http://schemas.microsoft.com/office/drawing/2014/main" id="{FBD93D13-EE71-4BB1-B27F-C3D28324D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7" name="Picture 346">
          <a:extLst>
            <a:ext uri="{FF2B5EF4-FFF2-40B4-BE49-F238E27FC236}">
              <a16:creationId xmlns:a16="http://schemas.microsoft.com/office/drawing/2014/main" id="{64BB390B-A390-4693-9034-3032E4F7F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8" name="Picture 347">
          <a:extLst>
            <a:ext uri="{FF2B5EF4-FFF2-40B4-BE49-F238E27FC236}">
              <a16:creationId xmlns:a16="http://schemas.microsoft.com/office/drawing/2014/main" id="{D8D65EEE-1E74-4B0E-81D9-95A539574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49" name="Picture 348">
          <a:extLst>
            <a:ext uri="{FF2B5EF4-FFF2-40B4-BE49-F238E27FC236}">
              <a16:creationId xmlns:a16="http://schemas.microsoft.com/office/drawing/2014/main" id="{3B764E93-8434-4EDA-B17A-F8C0CCBA4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0" name="Picture 349">
          <a:extLst>
            <a:ext uri="{FF2B5EF4-FFF2-40B4-BE49-F238E27FC236}">
              <a16:creationId xmlns:a16="http://schemas.microsoft.com/office/drawing/2014/main" id="{CF65B7DA-337D-46CE-BBC4-40C7E6B33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1" name="Picture 350">
          <a:extLst>
            <a:ext uri="{FF2B5EF4-FFF2-40B4-BE49-F238E27FC236}">
              <a16:creationId xmlns:a16="http://schemas.microsoft.com/office/drawing/2014/main" id="{890F0AE2-8918-4A37-915F-3C4509902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2" name="Picture 351">
          <a:extLst>
            <a:ext uri="{FF2B5EF4-FFF2-40B4-BE49-F238E27FC236}">
              <a16:creationId xmlns:a16="http://schemas.microsoft.com/office/drawing/2014/main" id="{F367D8A0-1181-424C-9EDC-767C3FE4F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3" name="Picture 352">
          <a:extLst>
            <a:ext uri="{FF2B5EF4-FFF2-40B4-BE49-F238E27FC236}">
              <a16:creationId xmlns:a16="http://schemas.microsoft.com/office/drawing/2014/main" id="{4B2FF41C-A6B2-4C37-BBF1-2D63BA6C6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4" name="Picture 353">
          <a:extLst>
            <a:ext uri="{FF2B5EF4-FFF2-40B4-BE49-F238E27FC236}">
              <a16:creationId xmlns:a16="http://schemas.microsoft.com/office/drawing/2014/main" id="{BECE9D38-D8F9-4D98-BFF7-E8519B560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5" name="Picture 354">
          <a:extLst>
            <a:ext uri="{FF2B5EF4-FFF2-40B4-BE49-F238E27FC236}">
              <a16:creationId xmlns:a16="http://schemas.microsoft.com/office/drawing/2014/main" id="{64F549AF-194C-448F-B5B9-7DA5D10EE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6" name="Picture 355">
          <a:extLst>
            <a:ext uri="{FF2B5EF4-FFF2-40B4-BE49-F238E27FC236}">
              <a16:creationId xmlns:a16="http://schemas.microsoft.com/office/drawing/2014/main" id="{591ED7A8-24AE-4EAF-8CC5-FCCFD5C82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7" name="Picture 356">
          <a:extLst>
            <a:ext uri="{FF2B5EF4-FFF2-40B4-BE49-F238E27FC236}">
              <a16:creationId xmlns:a16="http://schemas.microsoft.com/office/drawing/2014/main" id="{AF795791-24F7-4E78-8426-78A6FDDFC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8" name="Picture 357">
          <a:extLst>
            <a:ext uri="{FF2B5EF4-FFF2-40B4-BE49-F238E27FC236}">
              <a16:creationId xmlns:a16="http://schemas.microsoft.com/office/drawing/2014/main" id="{C7FC0D1A-6435-4BDC-9F6D-7D927D29B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59" name="Picture 358">
          <a:extLst>
            <a:ext uri="{FF2B5EF4-FFF2-40B4-BE49-F238E27FC236}">
              <a16:creationId xmlns:a16="http://schemas.microsoft.com/office/drawing/2014/main" id="{EF412994-2A79-4704-8938-996C19C2A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0" name="Picture 359">
          <a:extLst>
            <a:ext uri="{FF2B5EF4-FFF2-40B4-BE49-F238E27FC236}">
              <a16:creationId xmlns:a16="http://schemas.microsoft.com/office/drawing/2014/main" id="{1FB01008-50D0-4311-8237-954B2CF0E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1" name="Picture 360">
          <a:extLst>
            <a:ext uri="{FF2B5EF4-FFF2-40B4-BE49-F238E27FC236}">
              <a16:creationId xmlns:a16="http://schemas.microsoft.com/office/drawing/2014/main" id="{C6EE0AE4-B75E-4A70-B659-B302AF529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2" name="Picture 361">
          <a:extLst>
            <a:ext uri="{FF2B5EF4-FFF2-40B4-BE49-F238E27FC236}">
              <a16:creationId xmlns:a16="http://schemas.microsoft.com/office/drawing/2014/main" id="{5722C573-312A-4359-BF86-990C0FB18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3" name="Picture 362">
          <a:extLst>
            <a:ext uri="{FF2B5EF4-FFF2-40B4-BE49-F238E27FC236}">
              <a16:creationId xmlns:a16="http://schemas.microsoft.com/office/drawing/2014/main" id="{13EE8123-CD0F-4CDC-87F1-58E87E8E2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4" name="Picture 363">
          <a:extLst>
            <a:ext uri="{FF2B5EF4-FFF2-40B4-BE49-F238E27FC236}">
              <a16:creationId xmlns:a16="http://schemas.microsoft.com/office/drawing/2014/main" id="{20C0845D-083A-48ED-A560-27FCD75C8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5" name="Picture 364">
          <a:extLst>
            <a:ext uri="{FF2B5EF4-FFF2-40B4-BE49-F238E27FC236}">
              <a16:creationId xmlns:a16="http://schemas.microsoft.com/office/drawing/2014/main" id="{1198AF9B-8D97-47CC-8DB0-FE5422A4C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6" name="Picture 365">
          <a:extLst>
            <a:ext uri="{FF2B5EF4-FFF2-40B4-BE49-F238E27FC236}">
              <a16:creationId xmlns:a16="http://schemas.microsoft.com/office/drawing/2014/main" id="{69C1EC0C-D52A-4044-A026-5DA19B2D1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7" name="Picture 366">
          <a:extLst>
            <a:ext uri="{FF2B5EF4-FFF2-40B4-BE49-F238E27FC236}">
              <a16:creationId xmlns:a16="http://schemas.microsoft.com/office/drawing/2014/main" id="{299B21A8-39E0-4C10-B229-56AF6E72C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8" name="Picture 367">
          <a:extLst>
            <a:ext uri="{FF2B5EF4-FFF2-40B4-BE49-F238E27FC236}">
              <a16:creationId xmlns:a16="http://schemas.microsoft.com/office/drawing/2014/main" id="{550B7BEE-93DB-4966-8638-0BA98988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69" name="Picture 368">
          <a:extLst>
            <a:ext uri="{FF2B5EF4-FFF2-40B4-BE49-F238E27FC236}">
              <a16:creationId xmlns:a16="http://schemas.microsoft.com/office/drawing/2014/main" id="{A715B337-572E-42E6-8687-F1882245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0" name="Picture 369">
          <a:extLst>
            <a:ext uri="{FF2B5EF4-FFF2-40B4-BE49-F238E27FC236}">
              <a16:creationId xmlns:a16="http://schemas.microsoft.com/office/drawing/2014/main" id="{58608D73-5826-4BD8-9B2C-4B52E3B80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1" name="Picture 370">
          <a:extLst>
            <a:ext uri="{FF2B5EF4-FFF2-40B4-BE49-F238E27FC236}">
              <a16:creationId xmlns:a16="http://schemas.microsoft.com/office/drawing/2014/main" id="{069892AE-BB2F-4125-BF91-3A584F99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2" name="Picture 371">
          <a:extLst>
            <a:ext uri="{FF2B5EF4-FFF2-40B4-BE49-F238E27FC236}">
              <a16:creationId xmlns:a16="http://schemas.microsoft.com/office/drawing/2014/main" id="{05E210A5-1E52-4FE3-B02C-31B3C912F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3" name="Picture 372">
          <a:extLst>
            <a:ext uri="{FF2B5EF4-FFF2-40B4-BE49-F238E27FC236}">
              <a16:creationId xmlns:a16="http://schemas.microsoft.com/office/drawing/2014/main" id="{885DF8F2-D01C-48AC-A549-97288D84A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4" name="Picture 373">
          <a:extLst>
            <a:ext uri="{FF2B5EF4-FFF2-40B4-BE49-F238E27FC236}">
              <a16:creationId xmlns:a16="http://schemas.microsoft.com/office/drawing/2014/main" id="{E4879D45-EF9D-442F-B015-9EB0EE6B6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5" name="Picture 374">
          <a:extLst>
            <a:ext uri="{FF2B5EF4-FFF2-40B4-BE49-F238E27FC236}">
              <a16:creationId xmlns:a16="http://schemas.microsoft.com/office/drawing/2014/main" id="{85C495DA-2D8E-4392-893F-0621FAF86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6" name="Picture 375">
          <a:extLst>
            <a:ext uri="{FF2B5EF4-FFF2-40B4-BE49-F238E27FC236}">
              <a16:creationId xmlns:a16="http://schemas.microsoft.com/office/drawing/2014/main" id="{ACA7AF22-B335-4D08-B513-D60D5CAEE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7" name="Picture 376">
          <a:extLst>
            <a:ext uri="{FF2B5EF4-FFF2-40B4-BE49-F238E27FC236}">
              <a16:creationId xmlns:a16="http://schemas.microsoft.com/office/drawing/2014/main" id="{1F899491-7C25-419C-8CD1-98B27A85A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8" name="Picture 377">
          <a:extLst>
            <a:ext uri="{FF2B5EF4-FFF2-40B4-BE49-F238E27FC236}">
              <a16:creationId xmlns:a16="http://schemas.microsoft.com/office/drawing/2014/main" id="{4E173AB6-58F1-4A71-8578-AFDFC439E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79" name="Picture 378">
          <a:extLst>
            <a:ext uri="{FF2B5EF4-FFF2-40B4-BE49-F238E27FC236}">
              <a16:creationId xmlns:a16="http://schemas.microsoft.com/office/drawing/2014/main" id="{C1FFF99E-2B05-452D-8036-D089C10CB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0" name="Picture 379">
          <a:extLst>
            <a:ext uri="{FF2B5EF4-FFF2-40B4-BE49-F238E27FC236}">
              <a16:creationId xmlns:a16="http://schemas.microsoft.com/office/drawing/2014/main" id="{FF04AE68-8822-4B26-8BA7-6FFB28EAF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1" name="Picture 380">
          <a:extLst>
            <a:ext uri="{FF2B5EF4-FFF2-40B4-BE49-F238E27FC236}">
              <a16:creationId xmlns:a16="http://schemas.microsoft.com/office/drawing/2014/main" id="{65D36CEE-E837-43D8-8142-E122E7739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2" name="Picture 381">
          <a:extLst>
            <a:ext uri="{FF2B5EF4-FFF2-40B4-BE49-F238E27FC236}">
              <a16:creationId xmlns:a16="http://schemas.microsoft.com/office/drawing/2014/main" id="{B1360E3A-7158-48C4-AE6D-6192EE76B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3" name="Picture 382">
          <a:extLst>
            <a:ext uri="{FF2B5EF4-FFF2-40B4-BE49-F238E27FC236}">
              <a16:creationId xmlns:a16="http://schemas.microsoft.com/office/drawing/2014/main" id="{346BE2AB-2BB2-466A-A734-680D542DC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4" name="Picture 383">
          <a:extLst>
            <a:ext uri="{FF2B5EF4-FFF2-40B4-BE49-F238E27FC236}">
              <a16:creationId xmlns:a16="http://schemas.microsoft.com/office/drawing/2014/main" id="{E0A7666C-D50A-4423-8C5F-68CCC63C0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5" name="Picture 384">
          <a:extLst>
            <a:ext uri="{FF2B5EF4-FFF2-40B4-BE49-F238E27FC236}">
              <a16:creationId xmlns:a16="http://schemas.microsoft.com/office/drawing/2014/main" id="{A6F2D04B-D702-4711-95E9-B0821C12C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6" name="Picture 385">
          <a:extLst>
            <a:ext uri="{FF2B5EF4-FFF2-40B4-BE49-F238E27FC236}">
              <a16:creationId xmlns:a16="http://schemas.microsoft.com/office/drawing/2014/main" id="{CEE9B101-1E41-4CAC-ADF7-DFE680CAE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7" name="Picture 386">
          <a:extLst>
            <a:ext uri="{FF2B5EF4-FFF2-40B4-BE49-F238E27FC236}">
              <a16:creationId xmlns:a16="http://schemas.microsoft.com/office/drawing/2014/main" id="{58E6961C-5A3B-427E-8AD1-F47D086A7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8" name="Picture 387">
          <a:extLst>
            <a:ext uri="{FF2B5EF4-FFF2-40B4-BE49-F238E27FC236}">
              <a16:creationId xmlns:a16="http://schemas.microsoft.com/office/drawing/2014/main" id="{E1344DB0-986B-4BF9-B33D-D46272DE7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89" name="Picture 388">
          <a:extLst>
            <a:ext uri="{FF2B5EF4-FFF2-40B4-BE49-F238E27FC236}">
              <a16:creationId xmlns:a16="http://schemas.microsoft.com/office/drawing/2014/main" id="{13C42B75-ADE0-4E70-B4C5-1D8070BB6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0" name="Picture 389">
          <a:extLst>
            <a:ext uri="{FF2B5EF4-FFF2-40B4-BE49-F238E27FC236}">
              <a16:creationId xmlns:a16="http://schemas.microsoft.com/office/drawing/2014/main" id="{392634B0-6B75-48FA-8D6F-418178FCA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1" name="Picture 390">
          <a:extLst>
            <a:ext uri="{FF2B5EF4-FFF2-40B4-BE49-F238E27FC236}">
              <a16:creationId xmlns:a16="http://schemas.microsoft.com/office/drawing/2014/main" id="{51D39068-496D-4370-943B-85FC3BD99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2" name="Picture 391">
          <a:extLst>
            <a:ext uri="{FF2B5EF4-FFF2-40B4-BE49-F238E27FC236}">
              <a16:creationId xmlns:a16="http://schemas.microsoft.com/office/drawing/2014/main" id="{83FD1BF2-BC53-4972-9059-CB5E9AD8E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3" name="Picture 392">
          <a:extLst>
            <a:ext uri="{FF2B5EF4-FFF2-40B4-BE49-F238E27FC236}">
              <a16:creationId xmlns:a16="http://schemas.microsoft.com/office/drawing/2014/main" id="{A133FD59-FCA6-454C-A0CE-9D22999E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4" name="Picture 393">
          <a:extLst>
            <a:ext uri="{FF2B5EF4-FFF2-40B4-BE49-F238E27FC236}">
              <a16:creationId xmlns:a16="http://schemas.microsoft.com/office/drawing/2014/main" id="{0960B8D1-5603-4219-8A80-6FB55BD53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5" name="Picture 394">
          <a:extLst>
            <a:ext uri="{FF2B5EF4-FFF2-40B4-BE49-F238E27FC236}">
              <a16:creationId xmlns:a16="http://schemas.microsoft.com/office/drawing/2014/main" id="{AF7FA83B-153E-472F-929B-6AF051B68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6" name="Picture 395">
          <a:extLst>
            <a:ext uri="{FF2B5EF4-FFF2-40B4-BE49-F238E27FC236}">
              <a16:creationId xmlns:a16="http://schemas.microsoft.com/office/drawing/2014/main" id="{23926479-7AFE-446A-8717-4FAC7A16C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7" name="Picture 396">
          <a:extLst>
            <a:ext uri="{FF2B5EF4-FFF2-40B4-BE49-F238E27FC236}">
              <a16:creationId xmlns:a16="http://schemas.microsoft.com/office/drawing/2014/main" id="{F0754459-484D-4A5D-8B7D-93577D281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8" name="Picture 397">
          <a:extLst>
            <a:ext uri="{FF2B5EF4-FFF2-40B4-BE49-F238E27FC236}">
              <a16:creationId xmlns:a16="http://schemas.microsoft.com/office/drawing/2014/main" id="{45F2C18C-2864-4E0B-B2A7-1EFF5BA1C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399" name="Picture 398">
          <a:extLst>
            <a:ext uri="{FF2B5EF4-FFF2-40B4-BE49-F238E27FC236}">
              <a16:creationId xmlns:a16="http://schemas.microsoft.com/office/drawing/2014/main" id="{9AC87302-E770-48BF-AAD1-B62BBF307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0" name="Picture 399">
          <a:extLst>
            <a:ext uri="{FF2B5EF4-FFF2-40B4-BE49-F238E27FC236}">
              <a16:creationId xmlns:a16="http://schemas.microsoft.com/office/drawing/2014/main" id="{E4A1B82B-1938-47A0-9129-614452D76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1" name="Picture 400">
          <a:extLst>
            <a:ext uri="{FF2B5EF4-FFF2-40B4-BE49-F238E27FC236}">
              <a16:creationId xmlns:a16="http://schemas.microsoft.com/office/drawing/2014/main" id="{DC5E8DE0-D485-4D75-AC69-E2EB971A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2" name="Picture 401">
          <a:extLst>
            <a:ext uri="{FF2B5EF4-FFF2-40B4-BE49-F238E27FC236}">
              <a16:creationId xmlns:a16="http://schemas.microsoft.com/office/drawing/2014/main" id="{81FC1FF7-6202-4CF9-8286-4332EA308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3" name="Picture 402">
          <a:extLst>
            <a:ext uri="{FF2B5EF4-FFF2-40B4-BE49-F238E27FC236}">
              <a16:creationId xmlns:a16="http://schemas.microsoft.com/office/drawing/2014/main" id="{675CD541-690D-49D2-9F3B-4D19FA4B6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4" name="Picture 403">
          <a:extLst>
            <a:ext uri="{FF2B5EF4-FFF2-40B4-BE49-F238E27FC236}">
              <a16:creationId xmlns:a16="http://schemas.microsoft.com/office/drawing/2014/main" id="{B6B060C0-F3C1-4BD3-9487-1B2B1B619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5" name="Picture 404">
          <a:extLst>
            <a:ext uri="{FF2B5EF4-FFF2-40B4-BE49-F238E27FC236}">
              <a16:creationId xmlns:a16="http://schemas.microsoft.com/office/drawing/2014/main" id="{D3D39E00-59CD-4A79-8B51-B2806AE37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6" name="Picture 405">
          <a:extLst>
            <a:ext uri="{FF2B5EF4-FFF2-40B4-BE49-F238E27FC236}">
              <a16:creationId xmlns:a16="http://schemas.microsoft.com/office/drawing/2014/main" id="{C18DE571-0A1B-4812-AF35-E031B4440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7" name="Picture 406">
          <a:extLst>
            <a:ext uri="{FF2B5EF4-FFF2-40B4-BE49-F238E27FC236}">
              <a16:creationId xmlns:a16="http://schemas.microsoft.com/office/drawing/2014/main" id="{9F5FE917-247E-4466-A846-AD95660F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8" name="Picture 407">
          <a:extLst>
            <a:ext uri="{FF2B5EF4-FFF2-40B4-BE49-F238E27FC236}">
              <a16:creationId xmlns:a16="http://schemas.microsoft.com/office/drawing/2014/main" id="{959ED73E-E5F6-4C23-8725-C32F8C542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09" name="Picture 408">
          <a:extLst>
            <a:ext uri="{FF2B5EF4-FFF2-40B4-BE49-F238E27FC236}">
              <a16:creationId xmlns:a16="http://schemas.microsoft.com/office/drawing/2014/main" id="{341BC942-80A0-4146-8C3E-BC369D0D8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0" name="Picture 409">
          <a:extLst>
            <a:ext uri="{FF2B5EF4-FFF2-40B4-BE49-F238E27FC236}">
              <a16:creationId xmlns:a16="http://schemas.microsoft.com/office/drawing/2014/main" id="{4C2C461B-0ED4-494B-8034-AEA61DD4D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1" name="Picture 410">
          <a:extLst>
            <a:ext uri="{FF2B5EF4-FFF2-40B4-BE49-F238E27FC236}">
              <a16:creationId xmlns:a16="http://schemas.microsoft.com/office/drawing/2014/main" id="{90D7DF8D-6399-439A-B146-231705613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2" name="Picture 411">
          <a:extLst>
            <a:ext uri="{FF2B5EF4-FFF2-40B4-BE49-F238E27FC236}">
              <a16:creationId xmlns:a16="http://schemas.microsoft.com/office/drawing/2014/main" id="{42C74113-A4CB-4E10-A94B-7FEDB80DC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3" name="Picture 412">
          <a:extLst>
            <a:ext uri="{FF2B5EF4-FFF2-40B4-BE49-F238E27FC236}">
              <a16:creationId xmlns:a16="http://schemas.microsoft.com/office/drawing/2014/main" id="{FE235B72-C170-4E37-BCF2-64A88E97E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4" name="Picture 413">
          <a:extLst>
            <a:ext uri="{FF2B5EF4-FFF2-40B4-BE49-F238E27FC236}">
              <a16:creationId xmlns:a16="http://schemas.microsoft.com/office/drawing/2014/main" id="{1CD4EDA6-ED3F-43D4-A9CE-4C63365D6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id="{739AAF81-C438-4E5A-8FE2-C3CFFF43E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6" name="Picture 415">
          <a:extLst>
            <a:ext uri="{FF2B5EF4-FFF2-40B4-BE49-F238E27FC236}">
              <a16:creationId xmlns:a16="http://schemas.microsoft.com/office/drawing/2014/main" id="{CBD7603D-C93F-4E79-A388-12F3D62E3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7" name="Picture 416">
          <a:extLst>
            <a:ext uri="{FF2B5EF4-FFF2-40B4-BE49-F238E27FC236}">
              <a16:creationId xmlns:a16="http://schemas.microsoft.com/office/drawing/2014/main" id="{7F950C84-B6C3-4F4C-B59B-E18428A60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8" name="Picture 417">
          <a:extLst>
            <a:ext uri="{FF2B5EF4-FFF2-40B4-BE49-F238E27FC236}">
              <a16:creationId xmlns:a16="http://schemas.microsoft.com/office/drawing/2014/main" id="{9C7EB52E-0ED4-4330-97CD-887E1F1AD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19" name="Picture 418">
          <a:extLst>
            <a:ext uri="{FF2B5EF4-FFF2-40B4-BE49-F238E27FC236}">
              <a16:creationId xmlns:a16="http://schemas.microsoft.com/office/drawing/2014/main" id="{D89E552E-0131-4130-90AB-B634C2757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0" name="Picture 419">
          <a:extLst>
            <a:ext uri="{FF2B5EF4-FFF2-40B4-BE49-F238E27FC236}">
              <a16:creationId xmlns:a16="http://schemas.microsoft.com/office/drawing/2014/main" id="{9C0842C2-7DB4-4A82-8CDE-05AD0ADA7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1" name="Picture 420">
          <a:extLst>
            <a:ext uri="{FF2B5EF4-FFF2-40B4-BE49-F238E27FC236}">
              <a16:creationId xmlns:a16="http://schemas.microsoft.com/office/drawing/2014/main" id="{091D8755-9E9D-4B6A-AE96-8EFB12EED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2" name="Picture 421">
          <a:extLst>
            <a:ext uri="{FF2B5EF4-FFF2-40B4-BE49-F238E27FC236}">
              <a16:creationId xmlns:a16="http://schemas.microsoft.com/office/drawing/2014/main" id="{CA384F5C-CCCE-4209-A5F6-D7A0EFC0A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3" name="Picture 422">
          <a:extLst>
            <a:ext uri="{FF2B5EF4-FFF2-40B4-BE49-F238E27FC236}">
              <a16:creationId xmlns:a16="http://schemas.microsoft.com/office/drawing/2014/main" id="{38093F2C-D47A-46DC-A5A9-02F4450E9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4" name="Picture 423">
          <a:extLst>
            <a:ext uri="{FF2B5EF4-FFF2-40B4-BE49-F238E27FC236}">
              <a16:creationId xmlns:a16="http://schemas.microsoft.com/office/drawing/2014/main" id="{C5D37665-73F4-41B0-AE51-DE7FC3C3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5" name="Picture 424">
          <a:extLst>
            <a:ext uri="{FF2B5EF4-FFF2-40B4-BE49-F238E27FC236}">
              <a16:creationId xmlns:a16="http://schemas.microsoft.com/office/drawing/2014/main" id="{C5650655-E3C5-4568-83E5-CEEF66B08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6" name="Picture 425">
          <a:extLst>
            <a:ext uri="{FF2B5EF4-FFF2-40B4-BE49-F238E27FC236}">
              <a16:creationId xmlns:a16="http://schemas.microsoft.com/office/drawing/2014/main" id="{A72281EF-82A9-4611-B72A-C7CF00B73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7" name="Picture 426">
          <a:extLst>
            <a:ext uri="{FF2B5EF4-FFF2-40B4-BE49-F238E27FC236}">
              <a16:creationId xmlns:a16="http://schemas.microsoft.com/office/drawing/2014/main" id="{F1DBF3C7-4D0D-4975-B003-F122F6261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8" name="Picture 427">
          <a:extLst>
            <a:ext uri="{FF2B5EF4-FFF2-40B4-BE49-F238E27FC236}">
              <a16:creationId xmlns:a16="http://schemas.microsoft.com/office/drawing/2014/main" id="{02B2A379-0A85-4F2E-A4AE-BB10E279D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29" name="Picture 428">
          <a:extLst>
            <a:ext uri="{FF2B5EF4-FFF2-40B4-BE49-F238E27FC236}">
              <a16:creationId xmlns:a16="http://schemas.microsoft.com/office/drawing/2014/main" id="{608E90C9-02D2-4CDC-8A3D-3FF1967EB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0" name="Picture 429">
          <a:extLst>
            <a:ext uri="{FF2B5EF4-FFF2-40B4-BE49-F238E27FC236}">
              <a16:creationId xmlns:a16="http://schemas.microsoft.com/office/drawing/2014/main" id="{5A770483-B352-4064-A681-E7F5F04D0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1" name="Picture 430">
          <a:extLst>
            <a:ext uri="{FF2B5EF4-FFF2-40B4-BE49-F238E27FC236}">
              <a16:creationId xmlns:a16="http://schemas.microsoft.com/office/drawing/2014/main" id="{77586056-2009-44E5-A723-B3B447C7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C7F0FAB8-96B8-46D8-9670-46FB2AB52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3" name="Picture 432">
          <a:extLst>
            <a:ext uri="{FF2B5EF4-FFF2-40B4-BE49-F238E27FC236}">
              <a16:creationId xmlns:a16="http://schemas.microsoft.com/office/drawing/2014/main" id="{707E821C-30AB-4978-8AE9-418A650D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85AD5536-81BC-40CB-A29F-A46A8646A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5" name="Picture 434">
          <a:extLst>
            <a:ext uri="{FF2B5EF4-FFF2-40B4-BE49-F238E27FC236}">
              <a16:creationId xmlns:a16="http://schemas.microsoft.com/office/drawing/2014/main" id="{9A91C1E4-EBC1-4295-89CB-EBAE958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6" name="Picture 435">
          <a:extLst>
            <a:ext uri="{FF2B5EF4-FFF2-40B4-BE49-F238E27FC236}">
              <a16:creationId xmlns:a16="http://schemas.microsoft.com/office/drawing/2014/main" id="{4F5834BB-8E95-47C4-B2C3-EC04C5FAD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7" name="Picture 436">
          <a:extLst>
            <a:ext uri="{FF2B5EF4-FFF2-40B4-BE49-F238E27FC236}">
              <a16:creationId xmlns:a16="http://schemas.microsoft.com/office/drawing/2014/main" id="{8B61155C-FA60-4B0E-A828-F3180C82D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8" name="Picture 437">
          <a:extLst>
            <a:ext uri="{FF2B5EF4-FFF2-40B4-BE49-F238E27FC236}">
              <a16:creationId xmlns:a16="http://schemas.microsoft.com/office/drawing/2014/main" id="{CEBEEA19-EB2F-4745-AC39-41863EF3F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39" name="Picture 438">
          <a:extLst>
            <a:ext uri="{FF2B5EF4-FFF2-40B4-BE49-F238E27FC236}">
              <a16:creationId xmlns:a16="http://schemas.microsoft.com/office/drawing/2014/main" id="{D4DA650F-78E2-4915-A0AF-1683C1FB8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0" name="Picture 439">
          <a:extLst>
            <a:ext uri="{FF2B5EF4-FFF2-40B4-BE49-F238E27FC236}">
              <a16:creationId xmlns:a16="http://schemas.microsoft.com/office/drawing/2014/main" id="{FBAED749-B64E-43E8-A252-6A8913494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1" name="Picture 440">
          <a:extLst>
            <a:ext uri="{FF2B5EF4-FFF2-40B4-BE49-F238E27FC236}">
              <a16:creationId xmlns:a16="http://schemas.microsoft.com/office/drawing/2014/main" id="{7F84DA37-B73A-4599-805A-F978716F9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2" name="Picture 441">
          <a:extLst>
            <a:ext uri="{FF2B5EF4-FFF2-40B4-BE49-F238E27FC236}">
              <a16:creationId xmlns:a16="http://schemas.microsoft.com/office/drawing/2014/main" id="{AD43EFF3-3945-4052-B7D9-0E1C73CB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3" name="Picture 442">
          <a:extLst>
            <a:ext uri="{FF2B5EF4-FFF2-40B4-BE49-F238E27FC236}">
              <a16:creationId xmlns:a16="http://schemas.microsoft.com/office/drawing/2014/main" id="{043192BD-E01F-4004-893F-8D33CE4C4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4" name="Picture 443">
          <a:extLst>
            <a:ext uri="{FF2B5EF4-FFF2-40B4-BE49-F238E27FC236}">
              <a16:creationId xmlns:a16="http://schemas.microsoft.com/office/drawing/2014/main" id="{6F8EA1BA-DEE5-411B-B96F-CC0FADBD3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5" name="Picture 444">
          <a:extLst>
            <a:ext uri="{FF2B5EF4-FFF2-40B4-BE49-F238E27FC236}">
              <a16:creationId xmlns:a16="http://schemas.microsoft.com/office/drawing/2014/main" id="{6EF666B6-B3D1-40D7-9FC8-EFD1E0684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6" name="Picture 445">
          <a:extLst>
            <a:ext uri="{FF2B5EF4-FFF2-40B4-BE49-F238E27FC236}">
              <a16:creationId xmlns:a16="http://schemas.microsoft.com/office/drawing/2014/main" id="{F74BFECE-5832-4A19-84CC-9B5C1566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7" name="Picture 446">
          <a:extLst>
            <a:ext uri="{FF2B5EF4-FFF2-40B4-BE49-F238E27FC236}">
              <a16:creationId xmlns:a16="http://schemas.microsoft.com/office/drawing/2014/main" id="{2C98738E-37E6-4751-8124-D183A8C47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8" name="Picture 447">
          <a:extLst>
            <a:ext uri="{FF2B5EF4-FFF2-40B4-BE49-F238E27FC236}">
              <a16:creationId xmlns:a16="http://schemas.microsoft.com/office/drawing/2014/main" id="{E5C54639-B162-4882-9B2E-23D37AA2A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49" name="Picture 448">
          <a:extLst>
            <a:ext uri="{FF2B5EF4-FFF2-40B4-BE49-F238E27FC236}">
              <a16:creationId xmlns:a16="http://schemas.microsoft.com/office/drawing/2014/main" id="{4F3202D6-EBE1-4728-AE87-8374F6E99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0" name="Picture 449">
          <a:extLst>
            <a:ext uri="{FF2B5EF4-FFF2-40B4-BE49-F238E27FC236}">
              <a16:creationId xmlns:a16="http://schemas.microsoft.com/office/drawing/2014/main" id="{06DDC73A-EE56-4820-87B8-FEE9DE0FA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id="{3D09C5C8-F973-47A6-B599-8841721E3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2" name="Picture 451">
          <a:extLst>
            <a:ext uri="{FF2B5EF4-FFF2-40B4-BE49-F238E27FC236}">
              <a16:creationId xmlns:a16="http://schemas.microsoft.com/office/drawing/2014/main" id="{503439D2-7A7E-4D05-BD99-F14450E58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3" name="Picture 452">
          <a:extLst>
            <a:ext uri="{FF2B5EF4-FFF2-40B4-BE49-F238E27FC236}">
              <a16:creationId xmlns:a16="http://schemas.microsoft.com/office/drawing/2014/main" id="{1E81B789-4FAC-4E1B-94AE-9F87107A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4" name="Picture 453">
          <a:extLst>
            <a:ext uri="{FF2B5EF4-FFF2-40B4-BE49-F238E27FC236}">
              <a16:creationId xmlns:a16="http://schemas.microsoft.com/office/drawing/2014/main" id="{4BB34F85-3535-4EDC-A5E2-230973C85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5" name="Picture 454">
          <a:extLst>
            <a:ext uri="{FF2B5EF4-FFF2-40B4-BE49-F238E27FC236}">
              <a16:creationId xmlns:a16="http://schemas.microsoft.com/office/drawing/2014/main" id="{867F5A5E-7ED6-4DE9-AC8B-EB33E5E4D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6" name="Picture 455">
          <a:extLst>
            <a:ext uri="{FF2B5EF4-FFF2-40B4-BE49-F238E27FC236}">
              <a16:creationId xmlns:a16="http://schemas.microsoft.com/office/drawing/2014/main" id="{A6114718-8A37-4501-B5BF-7EA5B0643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7" name="Picture 456">
          <a:extLst>
            <a:ext uri="{FF2B5EF4-FFF2-40B4-BE49-F238E27FC236}">
              <a16:creationId xmlns:a16="http://schemas.microsoft.com/office/drawing/2014/main" id="{E5AB4C90-70C5-4286-BF67-E7F6C2256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8" name="Picture 457">
          <a:extLst>
            <a:ext uri="{FF2B5EF4-FFF2-40B4-BE49-F238E27FC236}">
              <a16:creationId xmlns:a16="http://schemas.microsoft.com/office/drawing/2014/main" id="{60353091-7AFA-4A86-9670-13F027C7D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59" name="Picture 458">
          <a:extLst>
            <a:ext uri="{FF2B5EF4-FFF2-40B4-BE49-F238E27FC236}">
              <a16:creationId xmlns:a16="http://schemas.microsoft.com/office/drawing/2014/main" id="{568BCFFF-2259-402F-A831-CA6DAC6F3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0" name="Picture 459">
          <a:extLst>
            <a:ext uri="{FF2B5EF4-FFF2-40B4-BE49-F238E27FC236}">
              <a16:creationId xmlns:a16="http://schemas.microsoft.com/office/drawing/2014/main" id="{DC193B7B-7C27-4367-A7BF-9C379D495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1" name="Picture 460">
          <a:extLst>
            <a:ext uri="{FF2B5EF4-FFF2-40B4-BE49-F238E27FC236}">
              <a16:creationId xmlns:a16="http://schemas.microsoft.com/office/drawing/2014/main" id="{9C54061F-0942-4C91-90F6-79F99DD9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2" name="Picture 461">
          <a:extLst>
            <a:ext uri="{FF2B5EF4-FFF2-40B4-BE49-F238E27FC236}">
              <a16:creationId xmlns:a16="http://schemas.microsoft.com/office/drawing/2014/main" id="{16372A8B-25FA-4E41-B901-5160CE29D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3" name="Picture 462">
          <a:extLst>
            <a:ext uri="{FF2B5EF4-FFF2-40B4-BE49-F238E27FC236}">
              <a16:creationId xmlns:a16="http://schemas.microsoft.com/office/drawing/2014/main" id="{23A82409-E618-42B4-A234-99E0C10DE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4" name="Picture 463">
          <a:extLst>
            <a:ext uri="{FF2B5EF4-FFF2-40B4-BE49-F238E27FC236}">
              <a16:creationId xmlns:a16="http://schemas.microsoft.com/office/drawing/2014/main" id="{77D0B402-AA23-4DFD-8852-1560C8FF3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5" name="Picture 464">
          <a:extLst>
            <a:ext uri="{FF2B5EF4-FFF2-40B4-BE49-F238E27FC236}">
              <a16:creationId xmlns:a16="http://schemas.microsoft.com/office/drawing/2014/main" id="{784BE911-3208-496D-8A5C-8E83FC4E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6" name="Picture 465">
          <a:extLst>
            <a:ext uri="{FF2B5EF4-FFF2-40B4-BE49-F238E27FC236}">
              <a16:creationId xmlns:a16="http://schemas.microsoft.com/office/drawing/2014/main" id="{651849EB-B1F4-4BC2-94C4-4BF7808D1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7" name="Picture 466">
          <a:extLst>
            <a:ext uri="{FF2B5EF4-FFF2-40B4-BE49-F238E27FC236}">
              <a16:creationId xmlns:a16="http://schemas.microsoft.com/office/drawing/2014/main" id="{4CA03507-0775-4718-9CE1-A82268C60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8" name="Picture 467">
          <a:extLst>
            <a:ext uri="{FF2B5EF4-FFF2-40B4-BE49-F238E27FC236}">
              <a16:creationId xmlns:a16="http://schemas.microsoft.com/office/drawing/2014/main" id="{8807D81E-FD43-4CA7-A500-2CDC81B6D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69" name="Picture 468">
          <a:extLst>
            <a:ext uri="{FF2B5EF4-FFF2-40B4-BE49-F238E27FC236}">
              <a16:creationId xmlns:a16="http://schemas.microsoft.com/office/drawing/2014/main" id="{EF8378F1-60A5-4AF4-AF53-843106C8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0" name="Picture 469">
          <a:extLst>
            <a:ext uri="{FF2B5EF4-FFF2-40B4-BE49-F238E27FC236}">
              <a16:creationId xmlns:a16="http://schemas.microsoft.com/office/drawing/2014/main" id="{58BA1980-E3A7-44D8-80D2-7F4D821AD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1" name="Picture 470">
          <a:extLst>
            <a:ext uri="{FF2B5EF4-FFF2-40B4-BE49-F238E27FC236}">
              <a16:creationId xmlns:a16="http://schemas.microsoft.com/office/drawing/2014/main" id="{AB55D77F-0F9F-47F0-BA23-FF854691C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2" name="Picture 471">
          <a:extLst>
            <a:ext uri="{FF2B5EF4-FFF2-40B4-BE49-F238E27FC236}">
              <a16:creationId xmlns:a16="http://schemas.microsoft.com/office/drawing/2014/main" id="{153B20C8-AEF3-4828-8DF8-450C81C5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3" name="Picture 472">
          <a:extLst>
            <a:ext uri="{FF2B5EF4-FFF2-40B4-BE49-F238E27FC236}">
              <a16:creationId xmlns:a16="http://schemas.microsoft.com/office/drawing/2014/main" id="{E6B9B00D-25EC-4FB3-AD94-2D3E7422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4" name="Picture 473">
          <a:extLst>
            <a:ext uri="{FF2B5EF4-FFF2-40B4-BE49-F238E27FC236}">
              <a16:creationId xmlns:a16="http://schemas.microsoft.com/office/drawing/2014/main" id="{6CA1CEAB-8350-473A-9998-2A2B8DBA9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5" name="Picture 474">
          <a:extLst>
            <a:ext uri="{FF2B5EF4-FFF2-40B4-BE49-F238E27FC236}">
              <a16:creationId xmlns:a16="http://schemas.microsoft.com/office/drawing/2014/main" id="{EE28BB7D-9557-4BB7-8976-79D7FA3A8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6" name="Picture 475">
          <a:extLst>
            <a:ext uri="{FF2B5EF4-FFF2-40B4-BE49-F238E27FC236}">
              <a16:creationId xmlns:a16="http://schemas.microsoft.com/office/drawing/2014/main" id="{9E69D6BE-D386-47EF-9388-02D8C4E1C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7" name="Picture 476">
          <a:extLst>
            <a:ext uri="{FF2B5EF4-FFF2-40B4-BE49-F238E27FC236}">
              <a16:creationId xmlns:a16="http://schemas.microsoft.com/office/drawing/2014/main" id="{E878215D-1873-4EC8-9D2A-1777C6486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8" name="Picture 477">
          <a:extLst>
            <a:ext uri="{FF2B5EF4-FFF2-40B4-BE49-F238E27FC236}">
              <a16:creationId xmlns:a16="http://schemas.microsoft.com/office/drawing/2014/main" id="{CEFF4865-724D-47F9-ADBA-ED0BB498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79" name="Picture 478">
          <a:extLst>
            <a:ext uri="{FF2B5EF4-FFF2-40B4-BE49-F238E27FC236}">
              <a16:creationId xmlns:a16="http://schemas.microsoft.com/office/drawing/2014/main" id="{4AA5CAFB-8285-4D1C-AE2D-FD7398CA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0" name="Picture 479">
          <a:extLst>
            <a:ext uri="{FF2B5EF4-FFF2-40B4-BE49-F238E27FC236}">
              <a16:creationId xmlns:a16="http://schemas.microsoft.com/office/drawing/2014/main" id="{B4CBF86A-7047-45B6-A826-A922B931E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1" name="Picture 480">
          <a:extLst>
            <a:ext uri="{FF2B5EF4-FFF2-40B4-BE49-F238E27FC236}">
              <a16:creationId xmlns:a16="http://schemas.microsoft.com/office/drawing/2014/main" id="{8B10D62C-4C76-4F97-819A-81A7B6858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2" name="Picture 481">
          <a:extLst>
            <a:ext uri="{FF2B5EF4-FFF2-40B4-BE49-F238E27FC236}">
              <a16:creationId xmlns:a16="http://schemas.microsoft.com/office/drawing/2014/main" id="{AFBDB700-3210-4A25-8D79-FEAF3E480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3" name="Picture 482">
          <a:extLst>
            <a:ext uri="{FF2B5EF4-FFF2-40B4-BE49-F238E27FC236}">
              <a16:creationId xmlns:a16="http://schemas.microsoft.com/office/drawing/2014/main" id="{02AF99AF-80A0-4333-817A-BCDFC45E5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4" name="Picture 483">
          <a:extLst>
            <a:ext uri="{FF2B5EF4-FFF2-40B4-BE49-F238E27FC236}">
              <a16:creationId xmlns:a16="http://schemas.microsoft.com/office/drawing/2014/main" id="{C6B32032-6C81-4194-840D-3FBE41F53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id="{88CB6AB2-09BC-4992-A7AF-E524CCD1D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6" name="Picture 485">
          <a:extLst>
            <a:ext uri="{FF2B5EF4-FFF2-40B4-BE49-F238E27FC236}">
              <a16:creationId xmlns:a16="http://schemas.microsoft.com/office/drawing/2014/main" id="{EAA6168B-3DDD-4250-89E5-E8DA35D3F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7" name="Picture 486">
          <a:extLst>
            <a:ext uri="{FF2B5EF4-FFF2-40B4-BE49-F238E27FC236}">
              <a16:creationId xmlns:a16="http://schemas.microsoft.com/office/drawing/2014/main" id="{1979E81D-B644-44E6-956D-CDBABFCB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8" name="Picture 487">
          <a:extLst>
            <a:ext uri="{FF2B5EF4-FFF2-40B4-BE49-F238E27FC236}">
              <a16:creationId xmlns:a16="http://schemas.microsoft.com/office/drawing/2014/main" id="{9F8ED953-5CDB-4A9B-AD96-17803EFE0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89" name="Picture 488">
          <a:extLst>
            <a:ext uri="{FF2B5EF4-FFF2-40B4-BE49-F238E27FC236}">
              <a16:creationId xmlns:a16="http://schemas.microsoft.com/office/drawing/2014/main" id="{EC94D330-990B-4FCB-8D5D-0254342BE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0" name="Picture 489">
          <a:extLst>
            <a:ext uri="{FF2B5EF4-FFF2-40B4-BE49-F238E27FC236}">
              <a16:creationId xmlns:a16="http://schemas.microsoft.com/office/drawing/2014/main" id="{E7600F22-26E2-4DEA-B797-2462F0AE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1" name="Picture 490">
          <a:extLst>
            <a:ext uri="{FF2B5EF4-FFF2-40B4-BE49-F238E27FC236}">
              <a16:creationId xmlns:a16="http://schemas.microsoft.com/office/drawing/2014/main" id="{AF2A4C26-EAE2-4D89-9C80-5F68E3FFB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2" name="Picture 491">
          <a:extLst>
            <a:ext uri="{FF2B5EF4-FFF2-40B4-BE49-F238E27FC236}">
              <a16:creationId xmlns:a16="http://schemas.microsoft.com/office/drawing/2014/main" id="{3A0567AD-EB21-4944-A956-8CC95189B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3" name="Picture 492">
          <a:extLst>
            <a:ext uri="{FF2B5EF4-FFF2-40B4-BE49-F238E27FC236}">
              <a16:creationId xmlns:a16="http://schemas.microsoft.com/office/drawing/2014/main" id="{60F91C8F-DD21-41D7-9437-39E480215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4" name="Picture 493">
          <a:extLst>
            <a:ext uri="{FF2B5EF4-FFF2-40B4-BE49-F238E27FC236}">
              <a16:creationId xmlns:a16="http://schemas.microsoft.com/office/drawing/2014/main" id="{D2FE1E99-9BE0-4A55-B79E-EAA94CC6E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5" name="Picture 494">
          <a:extLst>
            <a:ext uri="{FF2B5EF4-FFF2-40B4-BE49-F238E27FC236}">
              <a16:creationId xmlns:a16="http://schemas.microsoft.com/office/drawing/2014/main" id="{96EEF465-A0AF-4C61-B838-B8F221C2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6" name="Picture 495">
          <a:extLst>
            <a:ext uri="{FF2B5EF4-FFF2-40B4-BE49-F238E27FC236}">
              <a16:creationId xmlns:a16="http://schemas.microsoft.com/office/drawing/2014/main" id="{1A109265-6555-48C7-BF15-E060FED33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7" name="Picture 496">
          <a:extLst>
            <a:ext uri="{FF2B5EF4-FFF2-40B4-BE49-F238E27FC236}">
              <a16:creationId xmlns:a16="http://schemas.microsoft.com/office/drawing/2014/main" id="{31548F0D-522B-4550-AB0E-5BE939927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8" name="Picture 497">
          <a:extLst>
            <a:ext uri="{FF2B5EF4-FFF2-40B4-BE49-F238E27FC236}">
              <a16:creationId xmlns:a16="http://schemas.microsoft.com/office/drawing/2014/main" id="{112F6229-5DFC-4492-9781-A0C63A93A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499" name="Picture 498">
          <a:extLst>
            <a:ext uri="{FF2B5EF4-FFF2-40B4-BE49-F238E27FC236}">
              <a16:creationId xmlns:a16="http://schemas.microsoft.com/office/drawing/2014/main" id="{B9F74FF1-1DAA-4ECB-8A64-5A539F147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0" name="Picture 499">
          <a:extLst>
            <a:ext uri="{FF2B5EF4-FFF2-40B4-BE49-F238E27FC236}">
              <a16:creationId xmlns:a16="http://schemas.microsoft.com/office/drawing/2014/main" id="{DA2952DC-D4B1-4D73-9C0D-0D15248C0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1" name="Picture 500">
          <a:extLst>
            <a:ext uri="{FF2B5EF4-FFF2-40B4-BE49-F238E27FC236}">
              <a16:creationId xmlns:a16="http://schemas.microsoft.com/office/drawing/2014/main" id="{CC418B4A-BE34-4421-B475-86DAD1978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2" name="Picture 501">
          <a:extLst>
            <a:ext uri="{FF2B5EF4-FFF2-40B4-BE49-F238E27FC236}">
              <a16:creationId xmlns:a16="http://schemas.microsoft.com/office/drawing/2014/main" id="{6BC4DCC9-A414-4D44-AE70-6CC01E682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3" name="Picture 502">
          <a:extLst>
            <a:ext uri="{FF2B5EF4-FFF2-40B4-BE49-F238E27FC236}">
              <a16:creationId xmlns:a16="http://schemas.microsoft.com/office/drawing/2014/main" id="{1709C0D2-1903-4872-8E08-9F08818CF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4" name="Picture 503">
          <a:extLst>
            <a:ext uri="{FF2B5EF4-FFF2-40B4-BE49-F238E27FC236}">
              <a16:creationId xmlns:a16="http://schemas.microsoft.com/office/drawing/2014/main" id="{D70333CA-62FC-4C2E-9984-6D8B05CB3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5" name="Picture 504">
          <a:extLst>
            <a:ext uri="{FF2B5EF4-FFF2-40B4-BE49-F238E27FC236}">
              <a16:creationId xmlns:a16="http://schemas.microsoft.com/office/drawing/2014/main" id="{C793C8B2-3F72-470C-98EE-2E03D374D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6" name="Picture 505">
          <a:extLst>
            <a:ext uri="{FF2B5EF4-FFF2-40B4-BE49-F238E27FC236}">
              <a16:creationId xmlns:a16="http://schemas.microsoft.com/office/drawing/2014/main" id="{8720AFAC-40B2-46B7-8717-046C63D55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7" name="Picture 506">
          <a:extLst>
            <a:ext uri="{FF2B5EF4-FFF2-40B4-BE49-F238E27FC236}">
              <a16:creationId xmlns:a16="http://schemas.microsoft.com/office/drawing/2014/main" id="{A01720BE-64AC-46E4-92CF-C20282080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8" name="Picture 507">
          <a:extLst>
            <a:ext uri="{FF2B5EF4-FFF2-40B4-BE49-F238E27FC236}">
              <a16:creationId xmlns:a16="http://schemas.microsoft.com/office/drawing/2014/main" id="{7013E9DD-0DA5-4E88-A0A0-F2CC87714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09" name="Picture 508">
          <a:extLst>
            <a:ext uri="{FF2B5EF4-FFF2-40B4-BE49-F238E27FC236}">
              <a16:creationId xmlns:a16="http://schemas.microsoft.com/office/drawing/2014/main" id="{38DEFD42-56FC-4A94-B6CC-CAC646A4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0" name="Picture 509">
          <a:extLst>
            <a:ext uri="{FF2B5EF4-FFF2-40B4-BE49-F238E27FC236}">
              <a16:creationId xmlns:a16="http://schemas.microsoft.com/office/drawing/2014/main" id="{0E31CB05-EB88-40BB-AE20-AC56ED3AE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1" name="Picture 510">
          <a:extLst>
            <a:ext uri="{FF2B5EF4-FFF2-40B4-BE49-F238E27FC236}">
              <a16:creationId xmlns:a16="http://schemas.microsoft.com/office/drawing/2014/main" id="{EC0DF350-0327-4DD5-8CA6-942CB42F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2" name="Picture 511">
          <a:extLst>
            <a:ext uri="{FF2B5EF4-FFF2-40B4-BE49-F238E27FC236}">
              <a16:creationId xmlns:a16="http://schemas.microsoft.com/office/drawing/2014/main" id="{8FA96DEA-A5AD-44B4-AE80-A08BCF548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3" name="Picture 512">
          <a:extLst>
            <a:ext uri="{FF2B5EF4-FFF2-40B4-BE49-F238E27FC236}">
              <a16:creationId xmlns:a16="http://schemas.microsoft.com/office/drawing/2014/main" id="{2B439B39-12EF-4F86-8C7F-B1E291ED2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4" name="Picture 513">
          <a:extLst>
            <a:ext uri="{FF2B5EF4-FFF2-40B4-BE49-F238E27FC236}">
              <a16:creationId xmlns:a16="http://schemas.microsoft.com/office/drawing/2014/main" id="{FE509446-7CFE-41CA-B82E-46FBB4A5C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5" name="Picture 514">
          <a:extLst>
            <a:ext uri="{FF2B5EF4-FFF2-40B4-BE49-F238E27FC236}">
              <a16:creationId xmlns:a16="http://schemas.microsoft.com/office/drawing/2014/main" id="{F85676C7-4B68-47D3-B6A4-39A3F2386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6" name="Picture 515">
          <a:extLst>
            <a:ext uri="{FF2B5EF4-FFF2-40B4-BE49-F238E27FC236}">
              <a16:creationId xmlns:a16="http://schemas.microsoft.com/office/drawing/2014/main" id="{E951F28F-3D3A-465A-AAB3-426137D7E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7" name="Picture 516">
          <a:extLst>
            <a:ext uri="{FF2B5EF4-FFF2-40B4-BE49-F238E27FC236}">
              <a16:creationId xmlns:a16="http://schemas.microsoft.com/office/drawing/2014/main" id="{6B21EEBD-6439-4EF4-8534-8298A66FA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8" name="Picture 517">
          <a:extLst>
            <a:ext uri="{FF2B5EF4-FFF2-40B4-BE49-F238E27FC236}">
              <a16:creationId xmlns:a16="http://schemas.microsoft.com/office/drawing/2014/main" id="{F9E9AC4D-513D-4521-A98B-3285D913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19" name="Picture 518">
          <a:extLst>
            <a:ext uri="{FF2B5EF4-FFF2-40B4-BE49-F238E27FC236}">
              <a16:creationId xmlns:a16="http://schemas.microsoft.com/office/drawing/2014/main" id="{ED36176D-7937-4CC5-9472-AB76D285A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0" name="Picture 519">
          <a:extLst>
            <a:ext uri="{FF2B5EF4-FFF2-40B4-BE49-F238E27FC236}">
              <a16:creationId xmlns:a16="http://schemas.microsoft.com/office/drawing/2014/main" id="{BD2697AF-05C9-4C32-B3FC-9E59FA5C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1" name="Picture 520">
          <a:extLst>
            <a:ext uri="{FF2B5EF4-FFF2-40B4-BE49-F238E27FC236}">
              <a16:creationId xmlns:a16="http://schemas.microsoft.com/office/drawing/2014/main" id="{91914A60-0546-4802-B6FA-8C77A8BF1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2" name="Picture 521">
          <a:extLst>
            <a:ext uri="{FF2B5EF4-FFF2-40B4-BE49-F238E27FC236}">
              <a16:creationId xmlns:a16="http://schemas.microsoft.com/office/drawing/2014/main" id="{43FBAFDA-B7A4-4145-804D-7BA33B92C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3" name="Picture 522">
          <a:extLst>
            <a:ext uri="{FF2B5EF4-FFF2-40B4-BE49-F238E27FC236}">
              <a16:creationId xmlns:a16="http://schemas.microsoft.com/office/drawing/2014/main" id="{BC1CD296-BC28-41EF-AD88-8EF6C58E1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4" name="Picture 523">
          <a:extLst>
            <a:ext uri="{FF2B5EF4-FFF2-40B4-BE49-F238E27FC236}">
              <a16:creationId xmlns:a16="http://schemas.microsoft.com/office/drawing/2014/main" id="{9B81960E-E909-491C-99C4-1C85688E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5" name="Picture 524">
          <a:extLst>
            <a:ext uri="{FF2B5EF4-FFF2-40B4-BE49-F238E27FC236}">
              <a16:creationId xmlns:a16="http://schemas.microsoft.com/office/drawing/2014/main" id="{A6EF9EAC-3218-471C-B784-6B6238C15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6" name="Picture 525">
          <a:extLst>
            <a:ext uri="{FF2B5EF4-FFF2-40B4-BE49-F238E27FC236}">
              <a16:creationId xmlns:a16="http://schemas.microsoft.com/office/drawing/2014/main" id="{8DA1168C-E016-45E8-8691-C97AFEA56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7" name="Picture 526">
          <a:extLst>
            <a:ext uri="{FF2B5EF4-FFF2-40B4-BE49-F238E27FC236}">
              <a16:creationId xmlns:a16="http://schemas.microsoft.com/office/drawing/2014/main" id="{DB434BD0-5228-4C04-A700-781D4CF7E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8" name="Picture 527">
          <a:extLst>
            <a:ext uri="{FF2B5EF4-FFF2-40B4-BE49-F238E27FC236}">
              <a16:creationId xmlns:a16="http://schemas.microsoft.com/office/drawing/2014/main" id="{49E62982-1181-45F4-BD56-C1DAE2875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29" name="Picture 528">
          <a:extLst>
            <a:ext uri="{FF2B5EF4-FFF2-40B4-BE49-F238E27FC236}">
              <a16:creationId xmlns:a16="http://schemas.microsoft.com/office/drawing/2014/main" id="{0FA45E58-7CB1-4C0C-8216-27DE240F2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0" name="Picture 529">
          <a:extLst>
            <a:ext uri="{FF2B5EF4-FFF2-40B4-BE49-F238E27FC236}">
              <a16:creationId xmlns:a16="http://schemas.microsoft.com/office/drawing/2014/main" id="{8B91D337-C3E2-446C-82B5-3A2AA1174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1" name="Picture 530">
          <a:extLst>
            <a:ext uri="{FF2B5EF4-FFF2-40B4-BE49-F238E27FC236}">
              <a16:creationId xmlns:a16="http://schemas.microsoft.com/office/drawing/2014/main" id="{8394CE14-CF95-4926-8AF4-36BB6494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2" name="Picture 531">
          <a:extLst>
            <a:ext uri="{FF2B5EF4-FFF2-40B4-BE49-F238E27FC236}">
              <a16:creationId xmlns:a16="http://schemas.microsoft.com/office/drawing/2014/main" id="{CF2CDE55-45BC-4047-BC9D-329C8E204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3" name="Picture 532">
          <a:extLst>
            <a:ext uri="{FF2B5EF4-FFF2-40B4-BE49-F238E27FC236}">
              <a16:creationId xmlns:a16="http://schemas.microsoft.com/office/drawing/2014/main" id="{88F9DE2A-F624-4A69-BDD7-E6D5BB03E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4" name="Picture 533">
          <a:extLst>
            <a:ext uri="{FF2B5EF4-FFF2-40B4-BE49-F238E27FC236}">
              <a16:creationId xmlns:a16="http://schemas.microsoft.com/office/drawing/2014/main" id="{7F15A97D-D310-4CB7-8B64-EDFBBD287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5" name="Picture 534">
          <a:extLst>
            <a:ext uri="{FF2B5EF4-FFF2-40B4-BE49-F238E27FC236}">
              <a16:creationId xmlns:a16="http://schemas.microsoft.com/office/drawing/2014/main" id="{8B5ED391-EA24-4DB5-B81B-A3418BEF6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6" name="Picture 535">
          <a:extLst>
            <a:ext uri="{FF2B5EF4-FFF2-40B4-BE49-F238E27FC236}">
              <a16:creationId xmlns:a16="http://schemas.microsoft.com/office/drawing/2014/main" id="{493E556C-981B-49F6-84D3-4142B923C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7" name="Picture 536">
          <a:extLst>
            <a:ext uri="{FF2B5EF4-FFF2-40B4-BE49-F238E27FC236}">
              <a16:creationId xmlns:a16="http://schemas.microsoft.com/office/drawing/2014/main" id="{9C8CFD68-FE9C-4053-926F-8019C3233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8" name="Picture 537">
          <a:extLst>
            <a:ext uri="{FF2B5EF4-FFF2-40B4-BE49-F238E27FC236}">
              <a16:creationId xmlns:a16="http://schemas.microsoft.com/office/drawing/2014/main" id="{2EF8F472-0CAB-4C52-AAD9-DF43EB859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39" name="Picture 538">
          <a:extLst>
            <a:ext uri="{FF2B5EF4-FFF2-40B4-BE49-F238E27FC236}">
              <a16:creationId xmlns:a16="http://schemas.microsoft.com/office/drawing/2014/main" id="{B51143F0-2023-4DB6-9427-E66637CC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0" name="Picture 539">
          <a:extLst>
            <a:ext uri="{FF2B5EF4-FFF2-40B4-BE49-F238E27FC236}">
              <a16:creationId xmlns:a16="http://schemas.microsoft.com/office/drawing/2014/main" id="{2C453E2F-2AF5-469B-B98C-F8126E9D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1" name="Picture 540">
          <a:extLst>
            <a:ext uri="{FF2B5EF4-FFF2-40B4-BE49-F238E27FC236}">
              <a16:creationId xmlns:a16="http://schemas.microsoft.com/office/drawing/2014/main" id="{5089792D-2FEE-4DF9-AD72-8F14C12C9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2" name="Picture 541">
          <a:extLst>
            <a:ext uri="{FF2B5EF4-FFF2-40B4-BE49-F238E27FC236}">
              <a16:creationId xmlns:a16="http://schemas.microsoft.com/office/drawing/2014/main" id="{76F8D36D-CB9C-484B-9124-9B960F02A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3" name="Picture 542">
          <a:extLst>
            <a:ext uri="{FF2B5EF4-FFF2-40B4-BE49-F238E27FC236}">
              <a16:creationId xmlns:a16="http://schemas.microsoft.com/office/drawing/2014/main" id="{DED939FF-DA6F-4C4F-9736-46D7C780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4" name="Picture 543">
          <a:extLst>
            <a:ext uri="{FF2B5EF4-FFF2-40B4-BE49-F238E27FC236}">
              <a16:creationId xmlns:a16="http://schemas.microsoft.com/office/drawing/2014/main" id="{D22EABD6-0E44-44D7-82AB-0E88708A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5" name="Picture 544">
          <a:extLst>
            <a:ext uri="{FF2B5EF4-FFF2-40B4-BE49-F238E27FC236}">
              <a16:creationId xmlns:a16="http://schemas.microsoft.com/office/drawing/2014/main" id="{2C2209D4-9699-4D73-AB52-AB27E4978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6" name="Picture 545">
          <a:extLst>
            <a:ext uri="{FF2B5EF4-FFF2-40B4-BE49-F238E27FC236}">
              <a16:creationId xmlns:a16="http://schemas.microsoft.com/office/drawing/2014/main" id="{9F2AC5F0-3059-45DC-8F52-17B9363E8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7" name="Picture 546">
          <a:extLst>
            <a:ext uri="{FF2B5EF4-FFF2-40B4-BE49-F238E27FC236}">
              <a16:creationId xmlns:a16="http://schemas.microsoft.com/office/drawing/2014/main" id="{2CA01DE5-56B6-41E6-A954-6F053AE33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8" name="Picture 547">
          <a:extLst>
            <a:ext uri="{FF2B5EF4-FFF2-40B4-BE49-F238E27FC236}">
              <a16:creationId xmlns:a16="http://schemas.microsoft.com/office/drawing/2014/main" id="{8415FD1B-CE77-4B6C-A22E-94F33274C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49" name="Picture 548">
          <a:extLst>
            <a:ext uri="{FF2B5EF4-FFF2-40B4-BE49-F238E27FC236}">
              <a16:creationId xmlns:a16="http://schemas.microsoft.com/office/drawing/2014/main" id="{1C095FB6-B599-42DD-83BC-25F96A2F3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0" name="Picture 549">
          <a:extLst>
            <a:ext uri="{FF2B5EF4-FFF2-40B4-BE49-F238E27FC236}">
              <a16:creationId xmlns:a16="http://schemas.microsoft.com/office/drawing/2014/main" id="{B0E266E2-5DAD-4EAD-9E81-54FA50BEF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1" name="Picture 550">
          <a:extLst>
            <a:ext uri="{FF2B5EF4-FFF2-40B4-BE49-F238E27FC236}">
              <a16:creationId xmlns:a16="http://schemas.microsoft.com/office/drawing/2014/main" id="{E2FD3797-D623-483D-A878-1BA8BCF21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2" name="Picture 551">
          <a:extLst>
            <a:ext uri="{FF2B5EF4-FFF2-40B4-BE49-F238E27FC236}">
              <a16:creationId xmlns:a16="http://schemas.microsoft.com/office/drawing/2014/main" id="{DFDEEE52-19B7-4C32-ACAC-3AF118DC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3" name="Picture 552">
          <a:extLst>
            <a:ext uri="{FF2B5EF4-FFF2-40B4-BE49-F238E27FC236}">
              <a16:creationId xmlns:a16="http://schemas.microsoft.com/office/drawing/2014/main" id="{A5A6BB90-EEE8-4907-8D9D-CF90232F7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4" name="Picture 553">
          <a:extLst>
            <a:ext uri="{FF2B5EF4-FFF2-40B4-BE49-F238E27FC236}">
              <a16:creationId xmlns:a16="http://schemas.microsoft.com/office/drawing/2014/main" id="{A0E90E47-40A7-45FE-BDA0-97B80D2FC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5" name="Picture 554">
          <a:extLst>
            <a:ext uri="{FF2B5EF4-FFF2-40B4-BE49-F238E27FC236}">
              <a16:creationId xmlns:a16="http://schemas.microsoft.com/office/drawing/2014/main" id="{E5F6AA8B-3AEA-4C23-860D-1099494D8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6" name="Picture 555">
          <a:extLst>
            <a:ext uri="{FF2B5EF4-FFF2-40B4-BE49-F238E27FC236}">
              <a16:creationId xmlns:a16="http://schemas.microsoft.com/office/drawing/2014/main" id="{29003D55-A2F9-4458-A294-CC86928E4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7" name="Picture 556">
          <a:extLst>
            <a:ext uri="{FF2B5EF4-FFF2-40B4-BE49-F238E27FC236}">
              <a16:creationId xmlns:a16="http://schemas.microsoft.com/office/drawing/2014/main" id="{6E828E6E-E691-4DF5-9E90-26827A050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8" name="Picture 557">
          <a:extLst>
            <a:ext uri="{FF2B5EF4-FFF2-40B4-BE49-F238E27FC236}">
              <a16:creationId xmlns:a16="http://schemas.microsoft.com/office/drawing/2014/main" id="{AC335209-D9AF-4ACC-8422-3A51A86D2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59" name="Picture 558">
          <a:extLst>
            <a:ext uri="{FF2B5EF4-FFF2-40B4-BE49-F238E27FC236}">
              <a16:creationId xmlns:a16="http://schemas.microsoft.com/office/drawing/2014/main" id="{CAE88176-9C7A-4A49-AA6C-495A5E65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0" name="Picture 559">
          <a:extLst>
            <a:ext uri="{FF2B5EF4-FFF2-40B4-BE49-F238E27FC236}">
              <a16:creationId xmlns:a16="http://schemas.microsoft.com/office/drawing/2014/main" id="{8ACE12B4-6C56-4841-A588-55F353EB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1" name="Picture 560">
          <a:extLst>
            <a:ext uri="{FF2B5EF4-FFF2-40B4-BE49-F238E27FC236}">
              <a16:creationId xmlns:a16="http://schemas.microsoft.com/office/drawing/2014/main" id="{D411B710-0465-4E4F-8AA4-8E65921C1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2" name="Picture 561">
          <a:extLst>
            <a:ext uri="{FF2B5EF4-FFF2-40B4-BE49-F238E27FC236}">
              <a16:creationId xmlns:a16="http://schemas.microsoft.com/office/drawing/2014/main" id="{7C0E5A1B-38AB-4678-95DE-52EEE834D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3" name="Picture 562">
          <a:extLst>
            <a:ext uri="{FF2B5EF4-FFF2-40B4-BE49-F238E27FC236}">
              <a16:creationId xmlns:a16="http://schemas.microsoft.com/office/drawing/2014/main" id="{BECC59F5-29C8-404A-9A92-1A74F6CB5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4" name="Picture 563">
          <a:extLst>
            <a:ext uri="{FF2B5EF4-FFF2-40B4-BE49-F238E27FC236}">
              <a16:creationId xmlns:a16="http://schemas.microsoft.com/office/drawing/2014/main" id="{5ABAEA88-CEB9-4D52-9325-23BF17A4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5" name="Picture 564">
          <a:extLst>
            <a:ext uri="{FF2B5EF4-FFF2-40B4-BE49-F238E27FC236}">
              <a16:creationId xmlns:a16="http://schemas.microsoft.com/office/drawing/2014/main" id="{ED1A6F13-40FB-4876-861F-5580E1D5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6" name="Picture 565">
          <a:extLst>
            <a:ext uri="{FF2B5EF4-FFF2-40B4-BE49-F238E27FC236}">
              <a16:creationId xmlns:a16="http://schemas.microsoft.com/office/drawing/2014/main" id="{F8F25CB8-17E3-4E0B-9A31-305806161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7" name="Picture 566">
          <a:extLst>
            <a:ext uri="{FF2B5EF4-FFF2-40B4-BE49-F238E27FC236}">
              <a16:creationId xmlns:a16="http://schemas.microsoft.com/office/drawing/2014/main" id="{F1C1BC5A-9A3B-47AA-94F7-55C67BDA4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8" name="Picture 567">
          <a:extLst>
            <a:ext uri="{FF2B5EF4-FFF2-40B4-BE49-F238E27FC236}">
              <a16:creationId xmlns:a16="http://schemas.microsoft.com/office/drawing/2014/main" id="{58574918-F32F-449B-81B9-34BF30A20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69" name="Picture 568">
          <a:extLst>
            <a:ext uri="{FF2B5EF4-FFF2-40B4-BE49-F238E27FC236}">
              <a16:creationId xmlns:a16="http://schemas.microsoft.com/office/drawing/2014/main" id="{D04A46FB-CDEB-4D51-9FF9-9A5A90511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0" name="Picture 569">
          <a:extLst>
            <a:ext uri="{FF2B5EF4-FFF2-40B4-BE49-F238E27FC236}">
              <a16:creationId xmlns:a16="http://schemas.microsoft.com/office/drawing/2014/main" id="{EC041ED2-8041-47EF-AE8B-67D5146D4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1" name="Picture 570">
          <a:extLst>
            <a:ext uri="{FF2B5EF4-FFF2-40B4-BE49-F238E27FC236}">
              <a16:creationId xmlns:a16="http://schemas.microsoft.com/office/drawing/2014/main" id="{BDBE2DD1-B46B-42DE-9C23-43EDBFDFA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2" name="Picture 571">
          <a:extLst>
            <a:ext uri="{FF2B5EF4-FFF2-40B4-BE49-F238E27FC236}">
              <a16:creationId xmlns:a16="http://schemas.microsoft.com/office/drawing/2014/main" id="{D8024B8B-69A3-45E4-B830-30C5C3D53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3" name="Picture 572">
          <a:extLst>
            <a:ext uri="{FF2B5EF4-FFF2-40B4-BE49-F238E27FC236}">
              <a16:creationId xmlns:a16="http://schemas.microsoft.com/office/drawing/2014/main" id="{A01D6967-9097-4145-A407-B35518647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4" name="Picture 573">
          <a:extLst>
            <a:ext uri="{FF2B5EF4-FFF2-40B4-BE49-F238E27FC236}">
              <a16:creationId xmlns:a16="http://schemas.microsoft.com/office/drawing/2014/main" id="{35B59B74-6987-4F91-B5B4-EA829F69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5" name="Picture 574">
          <a:extLst>
            <a:ext uri="{FF2B5EF4-FFF2-40B4-BE49-F238E27FC236}">
              <a16:creationId xmlns:a16="http://schemas.microsoft.com/office/drawing/2014/main" id="{DED89D97-76DC-402B-927F-0FCECAB70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6" name="Picture 575">
          <a:extLst>
            <a:ext uri="{FF2B5EF4-FFF2-40B4-BE49-F238E27FC236}">
              <a16:creationId xmlns:a16="http://schemas.microsoft.com/office/drawing/2014/main" id="{825C80EF-BA5D-4E78-9AEE-69532A26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7" name="Picture 576">
          <a:extLst>
            <a:ext uri="{FF2B5EF4-FFF2-40B4-BE49-F238E27FC236}">
              <a16:creationId xmlns:a16="http://schemas.microsoft.com/office/drawing/2014/main" id="{CB37E06C-1699-4582-8AAA-862F634EB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8" name="Picture 577">
          <a:extLst>
            <a:ext uri="{FF2B5EF4-FFF2-40B4-BE49-F238E27FC236}">
              <a16:creationId xmlns:a16="http://schemas.microsoft.com/office/drawing/2014/main" id="{0354FF02-D234-49DD-A07E-10FF8316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79" name="Picture 578">
          <a:extLst>
            <a:ext uri="{FF2B5EF4-FFF2-40B4-BE49-F238E27FC236}">
              <a16:creationId xmlns:a16="http://schemas.microsoft.com/office/drawing/2014/main" id="{D5A14B8D-261D-4147-940E-7C0A100FC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0" name="Picture 579">
          <a:extLst>
            <a:ext uri="{FF2B5EF4-FFF2-40B4-BE49-F238E27FC236}">
              <a16:creationId xmlns:a16="http://schemas.microsoft.com/office/drawing/2014/main" id="{33BBC1DD-47A6-4868-BC46-192CBC820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1" name="Picture 580">
          <a:extLst>
            <a:ext uri="{FF2B5EF4-FFF2-40B4-BE49-F238E27FC236}">
              <a16:creationId xmlns:a16="http://schemas.microsoft.com/office/drawing/2014/main" id="{E845443A-4BBC-4656-8283-D47E70F41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2" name="Picture 581">
          <a:extLst>
            <a:ext uri="{FF2B5EF4-FFF2-40B4-BE49-F238E27FC236}">
              <a16:creationId xmlns:a16="http://schemas.microsoft.com/office/drawing/2014/main" id="{AF22D371-66D0-4AE5-82F1-CBA2EE294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3" name="Picture 582">
          <a:extLst>
            <a:ext uri="{FF2B5EF4-FFF2-40B4-BE49-F238E27FC236}">
              <a16:creationId xmlns:a16="http://schemas.microsoft.com/office/drawing/2014/main" id="{0DE82C70-2F41-47A9-9D6D-4F8ADB46B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4" name="Picture 583">
          <a:extLst>
            <a:ext uri="{FF2B5EF4-FFF2-40B4-BE49-F238E27FC236}">
              <a16:creationId xmlns:a16="http://schemas.microsoft.com/office/drawing/2014/main" id="{10E53C53-0DE6-49EE-A094-1A33DF85A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5" name="Picture 584">
          <a:extLst>
            <a:ext uri="{FF2B5EF4-FFF2-40B4-BE49-F238E27FC236}">
              <a16:creationId xmlns:a16="http://schemas.microsoft.com/office/drawing/2014/main" id="{C8C31A34-52F6-4769-9150-51DCE176D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6" name="Picture 585">
          <a:extLst>
            <a:ext uri="{FF2B5EF4-FFF2-40B4-BE49-F238E27FC236}">
              <a16:creationId xmlns:a16="http://schemas.microsoft.com/office/drawing/2014/main" id="{FFAC2E35-BA18-4E08-9DAE-BBC24E689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7" name="Picture 586">
          <a:extLst>
            <a:ext uri="{FF2B5EF4-FFF2-40B4-BE49-F238E27FC236}">
              <a16:creationId xmlns:a16="http://schemas.microsoft.com/office/drawing/2014/main" id="{D3408F06-8E3F-4849-9194-FB7130E7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8" name="Picture 587">
          <a:extLst>
            <a:ext uri="{FF2B5EF4-FFF2-40B4-BE49-F238E27FC236}">
              <a16:creationId xmlns:a16="http://schemas.microsoft.com/office/drawing/2014/main" id="{2CB40FE2-6D03-4552-9521-FB4618E9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89" name="Picture 588">
          <a:extLst>
            <a:ext uri="{FF2B5EF4-FFF2-40B4-BE49-F238E27FC236}">
              <a16:creationId xmlns:a16="http://schemas.microsoft.com/office/drawing/2014/main" id="{C2B02331-609C-4675-836C-18618961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0" name="Picture 589">
          <a:extLst>
            <a:ext uri="{FF2B5EF4-FFF2-40B4-BE49-F238E27FC236}">
              <a16:creationId xmlns:a16="http://schemas.microsoft.com/office/drawing/2014/main" id="{7D830971-C2A1-4D08-8434-1908874F4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1" name="Picture 590">
          <a:extLst>
            <a:ext uri="{FF2B5EF4-FFF2-40B4-BE49-F238E27FC236}">
              <a16:creationId xmlns:a16="http://schemas.microsoft.com/office/drawing/2014/main" id="{5D6FF25A-FB6D-4303-83F9-984D7274A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2" name="Picture 591">
          <a:extLst>
            <a:ext uri="{FF2B5EF4-FFF2-40B4-BE49-F238E27FC236}">
              <a16:creationId xmlns:a16="http://schemas.microsoft.com/office/drawing/2014/main" id="{F74CEF6C-09F1-4775-9E61-CBE68F31C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3" name="Picture 592">
          <a:extLst>
            <a:ext uri="{FF2B5EF4-FFF2-40B4-BE49-F238E27FC236}">
              <a16:creationId xmlns:a16="http://schemas.microsoft.com/office/drawing/2014/main" id="{C72269E1-9EC0-45D2-9087-44075AE7E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4" name="Picture 593">
          <a:extLst>
            <a:ext uri="{FF2B5EF4-FFF2-40B4-BE49-F238E27FC236}">
              <a16:creationId xmlns:a16="http://schemas.microsoft.com/office/drawing/2014/main" id="{634D6002-BD14-4986-A65E-A44F2128A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5" name="Picture 594">
          <a:extLst>
            <a:ext uri="{FF2B5EF4-FFF2-40B4-BE49-F238E27FC236}">
              <a16:creationId xmlns:a16="http://schemas.microsoft.com/office/drawing/2014/main" id="{947672D8-C91A-4BE8-895E-BB040781C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6" name="Picture 595">
          <a:extLst>
            <a:ext uri="{FF2B5EF4-FFF2-40B4-BE49-F238E27FC236}">
              <a16:creationId xmlns:a16="http://schemas.microsoft.com/office/drawing/2014/main" id="{C3A746E1-0D21-41BB-8DFA-48AB5FB46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7" name="Picture 596">
          <a:extLst>
            <a:ext uri="{FF2B5EF4-FFF2-40B4-BE49-F238E27FC236}">
              <a16:creationId xmlns:a16="http://schemas.microsoft.com/office/drawing/2014/main" id="{1FADB30A-8B27-4302-A6B7-F225C3959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8" name="Picture 597">
          <a:extLst>
            <a:ext uri="{FF2B5EF4-FFF2-40B4-BE49-F238E27FC236}">
              <a16:creationId xmlns:a16="http://schemas.microsoft.com/office/drawing/2014/main" id="{3A7DFE4C-92DC-451B-AA3F-BB5B71E3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599" name="Picture 598">
          <a:extLst>
            <a:ext uri="{FF2B5EF4-FFF2-40B4-BE49-F238E27FC236}">
              <a16:creationId xmlns:a16="http://schemas.microsoft.com/office/drawing/2014/main" id="{2922346D-0CC5-4064-8CE8-84039FD8D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0" name="Picture 599">
          <a:extLst>
            <a:ext uri="{FF2B5EF4-FFF2-40B4-BE49-F238E27FC236}">
              <a16:creationId xmlns:a16="http://schemas.microsoft.com/office/drawing/2014/main" id="{631DB715-9604-413C-9486-35ABD1E19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1" name="Picture 600">
          <a:extLst>
            <a:ext uri="{FF2B5EF4-FFF2-40B4-BE49-F238E27FC236}">
              <a16:creationId xmlns:a16="http://schemas.microsoft.com/office/drawing/2014/main" id="{556D3A7B-5C7F-41F5-9296-6B76A41F0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2" name="Picture 601">
          <a:extLst>
            <a:ext uri="{FF2B5EF4-FFF2-40B4-BE49-F238E27FC236}">
              <a16:creationId xmlns:a16="http://schemas.microsoft.com/office/drawing/2014/main" id="{FFC19B5E-1E4E-4EE2-AD8E-685333FA4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3" name="Picture 602">
          <a:extLst>
            <a:ext uri="{FF2B5EF4-FFF2-40B4-BE49-F238E27FC236}">
              <a16:creationId xmlns:a16="http://schemas.microsoft.com/office/drawing/2014/main" id="{D2781953-01E6-4585-86F9-C14FC9982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4" name="Picture 603">
          <a:extLst>
            <a:ext uri="{FF2B5EF4-FFF2-40B4-BE49-F238E27FC236}">
              <a16:creationId xmlns:a16="http://schemas.microsoft.com/office/drawing/2014/main" id="{23DC2D4B-AB43-4B5F-8107-40888855E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5" name="Picture 604">
          <a:extLst>
            <a:ext uri="{FF2B5EF4-FFF2-40B4-BE49-F238E27FC236}">
              <a16:creationId xmlns:a16="http://schemas.microsoft.com/office/drawing/2014/main" id="{CFB4EA46-9976-4006-8C6D-59635D867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6" name="Picture 605">
          <a:extLst>
            <a:ext uri="{FF2B5EF4-FFF2-40B4-BE49-F238E27FC236}">
              <a16:creationId xmlns:a16="http://schemas.microsoft.com/office/drawing/2014/main" id="{EA654EC6-7FF2-49CE-92BA-D71FE5AE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7" name="Picture 606">
          <a:extLst>
            <a:ext uri="{FF2B5EF4-FFF2-40B4-BE49-F238E27FC236}">
              <a16:creationId xmlns:a16="http://schemas.microsoft.com/office/drawing/2014/main" id="{BAB67946-CDF3-4F46-A5E1-579FDFD7A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8" name="Picture 607">
          <a:extLst>
            <a:ext uri="{FF2B5EF4-FFF2-40B4-BE49-F238E27FC236}">
              <a16:creationId xmlns:a16="http://schemas.microsoft.com/office/drawing/2014/main" id="{98441343-9D30-44A8-A24F-40F9A0B9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09" name="Picture 608">
          <a:extLst>
            <a:ext uri="{FF2B5EF4-FFF2-40B4-BE49-F238E27FC236}">
              <a16:creationId xmlns:a16="http://schemas.microsoft.com/office/drawing/2014/main" id="{C0E554FF-B29C-47AF-81CA-CB7415105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0" name="Picture 609">
          <a:extLst>
            <a:ext uri="{FF2B5EF4-FFF2-40B4-BE49-F238E27FC236}">
              <a16:creationId xmlns:a16="http://schemas.microsoft.com/office/drawing/2014/main" id="{E5CD2ADA-E465-4077-A531-6D72C54E2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1" name="Picture 610">
          <a:extLst>
            <a:ext uri="{FF2B5EF4-FFF2-40B4-BE49-F238E27FC236}">
              <a16:creationId xmlns:a16="http://schemas.microsoft.com/office/drawing/2014/main" id="{0B0C2527-5176-4D04-92D0-748719D98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2" name="Picture 611">
          <a:extLst>
            <a:ext uri="{FF2B5EF4-FFF2-40B4-BE49-F238E27FC236}">
              <a16:creationId xmlns:a16="http://schemas.microsoft.com/office/drawing/2014/main" id="{082C078C-8707-4CF3-A68B-07DFBC836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3" name="Picture 612">
          <a:extLst>
            <a:ext uri="{FF2B5EF4-FFF2-40B4-BE49-F238E27FC236}">
              <a16:creationId xmlns:a16="http://schemas.microsoft.com/office/drawing/2014/main" id="{68AB0592-6928-42EF-83AC-F9D3BD661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4" name="Picture 613">
          <a:extLst>
            <a:ext uri="{FF2B5EF4-FFF2-40B4-BE49-F238E27FC236}">
              <a16:creationId xmlns:a16="http://schemas.microsoft.com/office/drawing/2014/main" id="{32EB542D-E5D7-40A8-BE01-71C28368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5" name="Picture 614">
          <a:extLst>
            <a:ext uri="{FF2B5EF4-FFF2-40B4-BE49-F238E27FC236}">
              <a16:creationId xmlns:a16="http://schemas.microsoft.com/office/drawing/2014/main" id="{E1E7173A-D24F-4F29-9211-E8FAC4DD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6" name="Picture 615">
          <a:extLst>
            <a:ext uri="{FF2B5EF4-FFF2-40B4-BE49-F238E27FC236}">
              <a16:creationId xmlns:a16="http://schemas.microsoft.com/office/drawing/2014/main" id="{E30F18DF-EF4A-4097-AC42-BEF159DA8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7" name="Picture 616">
          <a:extLst>
            <a:ext uri="{FF2B5EF4-FFF2-40B4-BE49-F238E27FC236}">
              <a16:creationId xmlns:a16="http://schemas.microsoft.com/office/drawing/2014/main" id="{B5230A26-CF10-446D-B1F1-EF57B35BD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8" name="Picture 617">
          <a:extLst>
            <a:ext uri="{FF2B5EF4-FFF2-40B4-BE49-F238E27FC236}">
              <a16:creationId xmlns:a16="http://schemas.microsoft.com/office/drawing/2014/main" id="{B1D6BD62-C178-40ED-8528-97705E9FE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19" name="Picture 618">
          <a:extLst>
            <a:ext uri="{FF2B5EF4-FFF2-40B4-BE49-F238E27FC236}">
              <a16:creationId xmlns:a16="http://schemas.microsoft.com/office/drawing/2014/main" id="{E5DCAEB0-A523-45DE-83E6-B6307D0E6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0" name="Picture 619">
          <a:extLst>
            <a:ext uri="{FF2B5EF4-FFF2-40B4-BE49-F238E27FC236}">
              <a16:creationId xmlns:a16="http://schemas.microsoft.com/office/drawing/2014/main" id="{4D79A611-2E9B-4435-BF18-E183B2955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1" name="Picture 620">
          <a:extLst>
            <a:ext uri="{FF2B5EF4-FFF2-40B4-BE49-F238E27FC236}">
              <a16:creationId xmlns:a16="http://schemas.microsoft.com/office/drawing/2014/main" id="{64AA48F1-A1C1-4A42-A6B0-2AF12EDC1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2" name="Picture 621">
          <a:extLst>
            <a:ext uri="{FF2B5EF4-FFF2-40B4-BE49-F238E27FC236}">
              <a16:creationId xmlns:a16="http://schemas.microsoft.com/office/drawing/2014/main" id="{FCAB6561-5BCE-4AED-89D2-7AFE0B626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3" name="Picture 622">
          <a:extLst>
            <a:ext uri="{FF2B5EF4-FFF2-40B4-BE49-F238E27FC236}">
              <a16:creationId xmlns:a16="http://schemas.microsoft.com/office/drawing/2014/main" id="{D13F1220-1879-4AD1-B530-122B8E4EE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4" name="Picture 623">
          <a:extLst>
            <a:ext uri="{FF2B5EF4-FFF2-40B4-BE49-F238E27FC236}">
              <a16:creationId xmlns:a16="http://schemas.microsoft.com/office/drawing/2014/main" id="{823434DB-D900-4F49-BC76-D588A5AA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5" name="Picture 624">
          <a:extLst>
            <a:ext uri="{FF2B5EF4-FFF2-40B4-BE49-F238E27FC236}">
              <a16:creationId xmlns:a16="http://schemas.microsoft.com/office/drawing/2014/main" id="{E59DAC6B-94C2-4EB4-BC4B-D6290872A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6" name="Picture 625">
          <a:extLst>
            <a:ext uri="{FF2B5EF4-FFF2-40B4-BE49-F238E27FC236}">
              <a16:creationId xmlns:a16="http://schemas.microsoft.com/office/drawing/2014/main" id="{4801C197-2250-425B-860C-7B7C0AC61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id="{CA1B719A-987F-4226-BF3A-E93A278C4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8" name="Picture 627">
          <a:extLst>
            <a:ext uri="{FF2B5EF4-FFF2-40B4-BE49-F238E27FC236}">
              <a16:creationId xmlns:a16="http://schemas.microsoft.com/office/drawing/2014/main" id="{7A242E60-4020-40CC-9C13-291470AEC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29" name="Picture 628">
          <a:extLst>
            <a:ext uri="{FF2B5EF4-FFF2-40B4-BE49-F238E27FC236}">
              <a16:creationId xmlns:a16="http://schemas.microsoft.com/office/drawing/2014/main" id="{B80CFD6A-42CD-4A35-8096-51D2DBEB7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0" name="Picture 629">
          <a:extLst>
            <a:ext uri="{FF2B5EF4-FFF2-40B4-BE49-F238E27FC236}">
              <a16:creationId xmlns:a16="http://schemas.microsoft.com/office/drawing/2014/main" id="{3FA2B751-1433-4FC8-9272-9232BEFC6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1" name="Picture 630">
          <a:extLst>
            <a:ext uri="{FF2B5EF4-FFF2-40B4-BE49-F238E27FC236}">
              <a16:creationId xmlns:a16="http://schemas.microsoft.com/office/drawing/2014/main" id="{17B23F5E-3A96-4128-9706-0FE7B384A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2" name="Picture 631">
          <a:extLst>
            <a:ext uri="{FF2B5EF4-FFF2-40B4-BE49-F238E27FC236}">
              <a16:creationId xmlns:a16="http://schemas.microsoft.com/office/drawing/2014/main" id="{20EE6D50-A0A1-459D-96ED-8B7D135EF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3" name="Picture 632">
          <a:extLst>
            <a:ext uri="{FF2B5EF4-FFF2-40B4-BE49-F238E27FC236}">
              <a16:creationId xmlns:a16="http://schemas.microsoft.com/office/drawing/2014/main" id="{C20721BB-5308-484E-9081-74C4E7470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4" name="Picture 633">
          <a:extLst>
            <a:ext uri="{FF2B5EF4-FFF2-40B4-BE49-F238E27FC236}">
              <a16:creationId xmlns:a16="http://schemas.microsoft.com/office/drawing/2014/main" id="{15BB979C-3488-48B4-B5F2-8CAA52F3B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5" name="Picture 634">
          <a:extLst>
            <a:ext uri="{FF2B5EF4-FFF2-40B4-BE49-F238E27FC236}">
              <a16:creationId xmlns:a16="http://schemas.microsoft.com/office/drawing/2014/main" id="{022F5E14-E0E1-42B3-9FEB-E460CB64E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6" name="Picture 635">
          <a:extLst>
            <a:ext uri="{FF2B5EF4-FFF2-40B4-BE49-F238E27FC236}">
              <a16:creationId xmlns:a16="http://schemas.microsoft.com/office/drawing/2014/main" id="{38B3D54D-8014-47E9-AD7B-4B36625DF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7" name="Picture 636">
          <a:extLst>
            <a:ext uri="{FF2B5EF4-FFF2-40B4-BE49-F238E27FC236}">
              <a16:creationId xmlns:a16="http://schemas.microsoft.com/office/drawing/2014/main" id="{7A8DAF81-995D-4F07-B7C2-06F3B019E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8" name="Picture 637">
          <a:extLst>
            <a:ext uri="{FF2B5EF4-FFF2-40B4-BE49-F238E27FC236}">
              <a16:creationId xmlns:a16="http://schemas.microsoft.com/office/drawing/2014/main" id="{E76D2105-C184-4664-B801-F53518F12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39" name="Picture 638">
          <a:extLst>
            <a:ext uri="{FF2B5EF4-FFF2-40B4-BE49-F238E27FC236}">
              <a16:creationId xmlns:a16="http://schemas.microsoft.com/office/drawing/2014/main" id="{EE6B8A89-4B85-480B-B766-691652E64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0" name="Picture 639">
          <a:extLst>
            <a:ext uri="{FF2B5EF4-FFF2-40B4-BE49-F238E27FC236}">
              <a16:creationId xmlns:a16="http://schemas.microsoft.com/office/drawing/2014/main" id="{72F31F2E-BCBD-4B61-BD29-70D5765ED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1" name="Picture 640">
          <a:extLst>
            <a:ext uri="{FF2B5EF4-FFF2-40B4-BE49-F238E27FC236}">
              <a16:creationId xmlns:a16="http://schemas.microsoft.com/office/drawing/2014/main" id="{2AC0108A-E7FB-407C-A6C6-67E7C37A3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2" name="Picture 641">
          <a:extLst>
            <a:ext uri="{FF2B5EF4-FFF2-40B4-BE49-F238E27FC236}">
              <a16:creationId xmlns:a16="http://schemas.microsoft.com/office/drawing/2014/main" id="{251592BF-A7A0-4A9F-B89B-96A548459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3" name="Picture 642">
          <a:extLst>
            <a:ext uri="{FF2B5EF4-FFF2-40B4-BE49-F238E27FC236}">
              <a16:creationId xmlns:a16="http://schemas.microsoft.com/office/drawing/2014/main" id="{FE13633B-E59C-4B30-811E-8F5D16198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4" name="Picture 643">
          <a:extLst>
            <a:ext uri="{FF2B5EF4-FFF2-40B4-BE49-F238E27FC236}">
              <a16:creationId xmlns:a16="http://schemas.microsoft.com/office/drawing/2014/main" id="{F4B549AE-9532-4433-9DEA-F9268066A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5" name="Picture 644">
          <a:extLst>
            <a:ext uri="{FF2B5EF4-FFF2-40B4-BE49-F238E27FC236}">
              <a16:creationId xmlns:a16="http://schemas.microsoft.com/office/drawing/2014/main" id="{EB8C4BA9-3488-4A86-A22F-5362D66C8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6" name="Picture 645">
          <a:extLst>
            <a:ext uri="{FF2B5EF4-FFF2-40B4-BE49-F238E27FC236}">
              <a16:creationId xmlns:a16="http://schemas.microsoft.com/office/drawing/2014/main" id="{59D71888-B6DB-4496-BDFE-1081117A5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7" name="Picture 646">
          <a:extLst>
            <a:ext uri="{FF2B5EF4-FFF2-40B4-BE49-F238E27FC236}">
              <a16:creationId xmlns:a16="http://schemas.microsoft.com/office/drawing/2014/main" id="{01C5667E-1F93-42D7-B9CF-58419E8BA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8" name="Picture 647">
          <a:extLst>
            <a:ext uri="{FF2B5EF4-FFF2-40B4-BE49-F238E27FC236}">
              <a16:creationId xmlns:a16="http://schemas.microsoft.com/office/drawing/2014/main" id="{71D89AFC-76A6-4920-A60B-0BB3B35C5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49" name="Picture 648">
          <a:extLst>
            <a:ext uri="{FF2B5EF4-FFF2-40B4-BE49-F238E27FC236}">
              <a16:creationId xmlns:a16="http://schemas.microsoft.com/office/drawing/2014/main" id="{706CA9CF-E9A6-44B1-BE29-C04066AA4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0" name="Picture 649">
          <a:extLst>
            <a:ext uri="{FF2B5EF4-FFF2-40B4-BE49-F238E27FC236}">
              <a16:creationId xmlns:a16="http://schemas.microsoft.com/office/drawing/2014/main" id="{8AE46543-D757-47F7-BA43-E634E3ACD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1" name="Picture 650">
          <a:extLst>
            <a:ext uri="{FF2B5EF4-FFF2-40B4-BE49-F238E27FC236}">
              <a16:creationId xmlns:a16="http://schemas.microsoft.com/office/drawing/2014/main" id="{A1FD4A3E-AC09-4C74-BC30-835F3946B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2" name="Picture 651">
          <a:extLst>
            <a:ext uri="{FF2B5EF4-FFF2-40B4-BE49-F238E27FC236}">
              <a16:creationId xmlns:a16="http://schemas.microsoft.com/office/drawing/2014/main" id="{22A3223E-2F71-44D4-907B-61411B685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3" name="Picture 652">
          <a:extLst>
            <a:ext uri="{FF2B5EF4-FFF2-40B4-BE49-F238E27FC236}">
              <a16:creationId xmlns:a16="http://schemas.microsoft.com/office/drawing/2014/main" id="{683C29EF-9790-4AC5-8B26-D403C2547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4" name="Picture 653">
          <a:extLst>
            <a:ext uri="{FF2B5EF4-FFF2-40B4-BE49-F238E27FC236}">
              <a16:creationId xmlns:a16="http://schemas.microsoft.com/office/drawing/2014/main" id="{6424D591-9022-4F35-8C39-7C3BD6B98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5" name="Picture 654">
          <a:extLst>
            <a:ext uri="{FF2B5EF4-FFF2-40B4-BE49-F238E27FC236}">
              <a16:creationId xmlns:a16="http://schemas.microsoft.com/office/drawing/2014/main" id="{BE242CDE-6939-4AAA-9B57-D3910798C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6" name="Picture 655">
          <a:extLst>
            <a:ext uri="{FF2B5EF4-FFF2-40B4-BE49-F238E27FC236}">
              <a16:creationId xmlns:a16="http://schemas.microsoft.com/office/drawing/2014/main" id="{F93DF95F-F950-4C5B-A39D-2E32DA176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7" name="Picture 656">
          <a:extLst>
            <a:ext uri="{FF2B5EF4-FFF2-40B4-BE49-F238E27FC236}">
              <a16:creationId xmlns:a16="http://schemas.microsoft.com/office/drawing/2014/main" id="{77D73E76-5B37-43B0-8298-99844E4B8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8" name="Picture 657">
          <a:extLst>
            <a:ext uri="{FF2B5EF4-FFF2-40B4-BE49-F238E27FC236}">
              <a16:creationId xmlns:a16="http://schemas.microsoft.com/office/drawing/2014/main" id="{B0529365-3E41-4D15-B61C-ED09C2C29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59" name="Picture 658">
          <a:extLst>
            <a:ext uri="{FF2B5EF4-FFF2-40B4-BE49-F238E27FC236}">
              <a16:creationId xmlns:a16="http://schemas.microsoft.com/office/drawing/2014/main" id="{32C418DC-7065-411A-BF45-AD46D182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0" name="Picture 659">
          <a:extLst>
            <a:ext uri="{FF2B5EF4-FFF2-40B4-BE49-F238E27FC236}">
              <a16:creationId xmlns:a16="http://schemas.microsoft.com/office/drawing/2014/main" id="{3556C353-38B0-40A2-AE3C-025FBDAB9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1" name="Picture 660">
          <a:extLst>
            <a:ext uri="{FF2B5EF4-FFF2-40B4-BE49-F238E27FC236}">
              <a16:creationId xmlns:a16="http://schemas.microsoft.com/office/drawing/2014/main" id="{3398BA83-F0AD-41C6-B6DA-099FD7BA4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2" name="Picture 661">
          <a:extLst>
            <a:ext uri="{FF2B5EF4-FFF2-40B4-BE49-F238E27FC236}">
              <a16:creationId xmlns:a16="http://schemas.microsoft.com/office/drawing/2014/main" id="{B05D8F5E-305F-42C9-BDA6-4BA042CC6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3" name="Picture 662">
          <a:extLst>
            <a:ext uri="{FF2B5EF4-FFF2-40B4-BE49-F238E27FC236}">
              <a16:creationId xmlns:a16="http://schemas.microsoft.com/office/drawing/2014/main" id="{6EAB83FC-F719-4210-985C-F50E3D897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4" name="Picture 663">
          <a:extLst>
            <a:ext uri="{FF2B5EF4-FFF2-40B4-BE49-F238E27FC236}">
              <a16:creationId xmlns:a16="http://schemas.microsoft.com/office/drawing/2014/main" id="{DE011788-87C9-4DD5-ACE4-429C3D55C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5" name="Picture 664">
          <a:extLst>
            <a:ext uri="{FF2B5EF4-FFF2-40B4-BE49-F238E27FC236}">
              <a16:creationId xmlns:a16="http://schemas.microsoft.com/office/drawing/2014/main" id="{C89FE154-2401-44FC-B172-704D7886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6" name="Picture 665">
          <a:extLst>
            <a:ext uri="{FF2B5EF4-FFF2-40B4-BE49-F238E27FC236}">
              <a16:creationId xmlns:a16="http://schemas.microsoft.com/office/drawing/2014/main" id="{394B4020-849F-4B1C-A418-7284333E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7" name="Picture 666">
          <a:extLst>
            <a:ext uri="{FF2B5EF4-FFF2-40B4-BE49-F238E27FC236}">
              <a16:creationId xmlns:a16="http://schemas.microsoft.com/office/drawing/2014/main" id="{5A3F2D21-2F2F-4305-A931-7D6B528CF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8" name="Picture 667">
          <a:extLst>
            <a:ext uri="{FF2B5EF4-FFF2-40B4-BE49-F238E27FC236}">
              <a16:creationId xmlns:a16="http://schemas.microsoft.com/office/drawing/2014/main" id="{DCD537B8-9711-4C90-86E4-CFE6FC61C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69" name="Picture 668">
          <a:extLst>
            <a:ext uri="{FF2B5EF4-FFF2-40B4-BE49-F238E27FC236}">
              <a16:creationId xmlns:a16="http://schemas.microsoft.com/office/drawing/2014/main" id="{8CA3CA53-4F89-44D1-AB46-1AF3395C0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70" name="Picture 669">
          <a:extLst>
            <a:ext uri="{FF2B5EF4-FFF2-40B4-BE49-F238E27FC236}">
              <a16:creationId xmlns:a16="http://schemas.microsoft.com/office/drawing/2014/main" id="{6AEEA1EF-28CC-4EB9-B480-4762C2802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71" name="Picture 670">
          <a:extLst>
            <a:ext uri="{FF2B5EF4-FFF2-40B4-BE49-F238E27FC236}">
              <a16:creationId xmlns:a16="http://schemas.microsoft.com/office/drawing/2014/main" id="{0D36B27B-C19D-46A5-98F6-71E497684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72" name="Picture 671">
          <a:extLst>
            <a:ext uri="{FF2B5EF4-FFF2-40B4-BE49-F238E27FC236}">
              <a16:creationId xmlns:a16="http://schemas.microsoft.com/office/drawing/2014/main" id="{C8616EE4-B6FD-4EAC-BF0B-D142E387A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133350</xdr:rowOff>
    </xdr:to>
    <xdr:pic>
      <xdr:nvPicPr>
        <xdr:cNvPr id="673" name="Picture 672">
          <a:extLst>
            <a:ext uri="{FF2B5EF4-FFF2-40B4-BE49-F238E27FC236}">
              <a16:creationId xmlns:a16="http://schemas.microsoft.com/office/drawing/2014/main" id="{596ECEE1-9AE5-4040-944E-5578A3E52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74" name="Picture 673">
          <a:extLst>
            <a:ext uri="{FF2B5EF4-FFF2-40B4-BE49-F238E27FC236}">
              <a16:creationId xmlns:a16="http://schemas.microsoft.com/office/drawing/2014/main" id="{A0A3AC83-FBF6-4C9C-B803-404461EA1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75" name="Picture 674">
          <a:extLst>
            <a:ext uri="{FF2B5EF4-FFF2-40B4-BE49-F238E27FC236}">
              <a16:creationId xmlns:a16="http://schemas.microsoft.com/office/drawing/2014/main" id="{80420793-7B94-4AA7-96C8-E4CDC11FC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76" name="Picture 675">
          <a:extLst>
            <a:ext uri="{FF2B5EF4-FFF2-40B4-BE49-F238E27FC236}">
              <a16:creationId xmlns:a16="http://schemas.microsoft.com/office/drawing/2014/main" id="{2F2E97E4-F3C7-4A81-AD39-8072331C3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77" name="Picture 676">
          <a:extLst>
            <a:ext uri="{FF2B5EF4-FFF2-40B4-BE49-F238E27FC236}">
              <a16:creationId xmlns:a16="http://schemas.microsoft.com/office/drawing/2014/main" id="{89B6B8DC-EA74-4723-855B-B75D953B6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78" name="Picture 677">
          <a:extLst>
            <a:ext uri="{FF2B5EF4-FFF2-40B4-BE49-F238E27FC236}">
              <a16:creationId xmlns:a16="http://schemas.microsoft.com/office/drawing/2014/main" id="{282D0BEC-C2F6-42F3-A1D4-6C9523E5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79" name="Picture 678">
          <a:extLst>
            <a:ext uri="{FF2B5EF4-FFF2-40B4-BE49-F238E27FC236}">
              <a16:creationId xmlns:a16="http://schemas.microsoft.com/office/drawing/2014/main" id="{07E931A1-1BA7-439C-A4B6-AB92E03EC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0" name="Picture 679">
          <a:extLst>
            <a:ext uri="{FF2B5EF4-FFF2-40B4-BE49-F238E27FC236}">
              <a16:creationId xmlns:a16="http://schemas.microsoft.com/office/drawing/2014/main" id="{A81F545A-9548-4809-97BC-0CDA86EB2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1" name="Picture 680">
          <a:extLst>
            <a:ext uri="{FF2B5EF4-FFF2-40B4-BE49-F238E27FC236}">
              <a16:creationId xmlns:a16="http://schemas.microsoft.com/office/drawing/2014/main" id="{341C71E2-8926-42F1-BAED-60688E424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2" name="Picture 681">
          <a:extLst>
            <a:ext uri="{FF2B5EF4-FFF2-40B4-BE49-F238E27FC236}">
              <a16:creationId xmlns:a16="http://schemas.microsoft.com/office/drawing/2014/main" id="{7679BC87-9733-43BE-9202-B12DD2C23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3" name="Picture 682">
          <a:extLst>
            <a:ext uri="{FF2B5EF4-FFF2-40B4-BE49-F238E27FC236}">
              <a16:creationId xmlns:a16="http://schemas.microsoft.com/office/drawing/2014/main" id="{DC87646B-9FD8-4052-BEBC-D6463DF99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4" name="Picture 683">
          <a:extLst>
            <a:ext uri="{FF2B5EF4-FFF2-40B4-BE49-F238E27FC236}">
              <a16:creationId xmlns:a16="http://schemas.microsoft.com/office/drawing/2014/main" id="{D7A39EAD-5900-4816-A4BA-BFEAC6851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5" name="Picture 684">
          <a:extLst>
            <a:ext uri="{FF2B5EF4-FFF2-40B4-BE49-F238E27FC236}">
              <a16:creationId xmlns:a16="http://schemas.microsoft.com/office/drawing/2014/main" id="{629EA06B-DB07-473D-B8DF-131F00C83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6" name="Picture 685">
          <a:extLst>
            <a:ext uri="{FF2B5EF4-FFF2-40B4-BE49-F238E27FC236}">
              <a16:creationId xmlns:a16="http://schemas.microsoft.com/office/drawing/2014/main" id="{47D7EFCD-723F-44A6-99E3-0FE97CC44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7" name="Picture 686">
          <a:extLst>
            <a:ext uri="{FF2B5EF4-FFF2-40B4-BE49-F238E27FC236}">
              <a16:creationId xmlns:a16="http://schemas.microsoft.com/office/drawing/2014/main" id="{0AD401A0-8864-42AF-81AC-D23E79CB6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8" name="Picture 687">
          <a:extLst>
            <a:ext uri="{FF2B5EF4-FFF2-40B4-BE49-F238E27FC236}">
              <a16:creationId xmlns:a16="http://schemas.microsoft.com/office/drawing/2014/main" id="{2223C66C-69CB-40F5-AE02-FA02C00E5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89" name="Picture 688">
          <a:extLst>
            <a:ext uri="{FF2B5EF4-FFF2-40B4-BE49-F238E27FC236}">
              <a16:creationId xmlns:a16="http://schemas.microsoft.com/office/drawing/2014/main" id="{80210C06-6711-4BB2-B715-8E16BBEFE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0" name="Picture 689">
          <a:extLst>
            <a:ext uri="{FF2B5EF4-FFF2-40B4-BE49-F238E27FC236}">
              <a16:creationId xmlns:a16="http://schemas.microsoft.com/office/drawing/2014/main" id="{7AF3776A-C4DF-450F-B836-B5EA69EB5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1" name="Picture 690">
          <a:extLst>
            <a:ext uri="{FF2B5EF4-FFF2-40B4-BE49-F238E27FC236}">
              <a16:creationId xmlns:a16="http://schemas.microsoft.com/office/drawing/2014/main" id="{4D9CFD55-2992-412B-8373-26B2A1D6C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2" name="Picture 691">
          <a:extLst>
            <a:ext uri="{FF2B5EF4-FFF2-40B4-BE49-F238E27FC236}">
              <a16:creationId xmlns:a16="http://schemas.microsoft.com/office/drawing/2014/main" id="{37AF30B7-B2B3-4337-AE59-A9EC28F2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3" name="Picture 692">
          <a:extLst>
            <a:ext uri="{FF2B5EF4-FFF2-40B4-BE49-F238E27FC236}">
              <a16:creationId xmlns:a16="http://schemas.microsoft.com/office/drawing/2014/main" id="{D8754F10-5641-4FA9-BAA6-648947815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4" name="Picture 693">
          <a:extLst>
            <a:ext uri="{FF2B5EF4-FFF2-40B4-BE49-F238E27FC236}">
              <a16:creationId xmlns:a16="http://schemas.microsoft.com/office/drawing/2014/main" id="{1E8F1169-9BAD-4036-BEF6-CF119F53D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5" name="Picture 694">
          <a:extLst>
            <a:ext uri="{FF2B5EF4-FFF2-40B4-BE49-F238E27FC236}">
              <a16:creationId xmlns:a16="http://schemas.microsoft.com/office/drawing/2014/main" id="{5361F779-917F-465B-9264-76DC051BE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6" name="Picture 695">
          <a:extLst>
            <a:ext uri="{FF2B5EF4-FFF2-40B4-BE49-F238E27FC236}">
              <a16:creationId xmlns:a16="http://schemas.microsoft.com/office/drawing/2014/main" id="{E4190390-841E-44CD-A736-0676BAC88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7" name="Picture 696">
          <a:extLst>
            <a:ext uri="{FF2B5EF4-FFF2-40B4-BE49-F238E27FC236}">
              <a16:creationId xmlns:a16="http://schemas.microsoft.com/office/drawing/2014/main" id="{FC1608CB-6D55-4202-B6D8-F76E431B5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8" name="Picture 697">
          <a:extLst>
            <a:ext uri="{FF2B5EF4-FFF2-40B4-BE49-F238E27FC236}">
              <a16:creationId xmlns:a16="http://schemas.microsoft.com/office/drawing/2014/main" id="{7BE1994C-7686-4A0A-BB62-04A55060A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699" name="Picture 698">
          <a:extLst>
            <a:ext uri="{FF2B5EF4-FFF2-40B4-BE49-F238E27FC236}">
              <a16:creationId xmlns:a16="http://schemas.microsoft.com/office/drawing/2014/main" id="{29AA6A9D-8385-46C3-9B92-6C539C539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0" name="Picture 699">
          <a:extLst>
            <a:ext uri="{FF2B5EF4-FFF2-40B4-BE49-F238E27FC236}">
              <a16:creationId xmlns:a16="http://schemas.microsoft.com/office/drawing/2014/main" id="{30629053-D2ED-4BCA-88F6-4C1AC8045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1" name="Picture 700">
          <a:extLst>
            <a:ext uri="{FF2B5EF4-FFF2-40B4-BE49-F238E27FC236}">
              <a16:creationId xmlns:a16="http://schemas.microsoft.com/office/drawing/2014/main" id="{053ECFB0-6BEB-4854-99FE-B7041BB6E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2" name="Picture 701">
          <a:extLst>
            <a:ext uri="{FF2B5EF4-FFF2-40B4-BE49-F238E27FC236}">
              <a16:creationId xmlns:a16="http://schemas.microsoft.com/office/drawing/2014/main" id="{5D344F3E-47D1-4F68-9385-5637ED7C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3" name="Picture 702">
          <a:extLst>
            <a:ext uri="{FF2B5EF4-FFF2-40B4-BE49-F238E27FC236}">
              <a16:creationId xmlns:a16="http://schemas.microsoft.com/office/drawing/2014/main" id="{AB7DC7CF-8C03-4F00-A6F5-9A71268DC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4" name="Picture 703">
          <a:extLst>
            <a:ext uri="{FF2B5EF4-FFF2-40B4-BE49-F238E27FC236}">
              <a16:creationId xmlns:a16="http://schemas.microsoft.com/office/drawing/2014/main" id="{0B680144-BF50-495F-BC5A-72CC0221D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5" name="Picture 704">
          <a:extLst>
            <a:ext uri="{FF2B5EF4-FFF2-40B4-BE49-F238E27FC236}">
              <a16:creationId xmlns:a16="http://schemas.microsoft.com/office/drawing/2014/main" id="{5D41513C-59A9-408C-85FF-9BD44BBDC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6" name="Picture 705">
          <a:extLst>
            <a:ext uri="{FF2B5EF4-FFF2-40B4-BE49-F238E27FC236}">
              <a16:creationId xmlns:a16="http://schemas.microsoft.com/office/drawing/2014/main" id="{92CFDFEC-B870-499A-800D-886B46D12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7" name="Picture 706">
          <a:extLst>
            <a:ext uri="{FF2B5EF4-FFF2-40B4-BE49-F238E27FC236}">
              <a16:creationId xmlns:a16="http://schemas.microsoft.com/office/drawing/2014/main" id="{D2B4A453-276A-4436-8190-C04A17F21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8" name="Picture 707">
          <a:extLst>
            <a:ext uri="{FF2B5EF4-FFF2-40B4-BE49-F238E27FC236}">
              <a16:creationId xmlns:a16="http://schemas.microsoft.com/office/drawing/2014/main" id="{77425E79-2E45-4FD6-BCAB-6519FD4E0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09" name="Picture 708">
          <a:extLst>
            <a:ext uri="{FF2B5EF4-FFF2-40B4-BE49-F238E27FC236}">
              <a16:creationId xmlns:a16="http://schemas.microsoft.com/office/drawing/2014/main" id="{7C566DF5-7CF0-4548-9801-81873F5BB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0" name="Picture 709">
          <a:extLst>
            <a:ext uri="{FF2B5EF4-FFF2-40B4-BE49-F238E27FC236}">
              <a16:creationId xmlns:a16="http://schemas.microsoft.com/office/drawing/2014/main" id="{6C19682A-7380-4200-A000-FC52AEA07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1" name="Picture 710">
          <a:extLst>
            <a:ext uri="{FF2B5EF4-FFF2-40B4-BE49-F238E27FC236}">
              <a16:creationId xmlns:a16="http://schemas.microsoft.com/office/drawing/2014/main" id="{A4C74C5A-186C-4806-BBE9-4C658DB51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2" name="Picture 711">
          <a:extLst>
            <a:ext uri="{FF2B5EF4-FFF2-40B4-BE49-F238E27FC236}">
              <a16:creationId xmlns:a16="http://schemas.microsoft.com/office/drawing/2014/main" id="{D4A0F2B3-8BE8-4D70-B4E6-6C9EA446D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3" name="Picture 712">
          <a:extLst>
            <a:ext uri="{FF2B5EF4-FFF2-40B4-BE49-F238E27FC236}">
              <a16:creationId xmlns:a16="http://schemas.microsoft.com/office/drawing/2014/main" id="{614DF050-4B40-4C97-ADEB-D6F9ED7C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4" name="Picture 713">
          <a:extLst>
            <a:ext uri="{FF2B5EF4-FFF2-40B4-BE49-F238E27FC236}">
              <a16:creationId xmlns:a16="http://schemas.microsoft.com/office/drawing/2014/main" id="{E5C92A31-142D-4477-8B2E-DD7CFBD3C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5" name="Picture 714">
          <a:extLst>
            <a:ext uri="{FF2B5EF4-FFF2-40B4-BE49-F238E27FC236}">
              <a16:creationId xmlns:a16="http://schemas.microsoft.com/office/drawing/2014/main" id="{5E8459A9-5C7D-4285-BAEA-D7C50DFD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6" name="Picture 715">
          <a:extLst>
            <a:ext uri="{FF2B5EF4-FFF2-40B4-BE49-F238E27FC236}">
              <a16:creationId xmlns:a16="http://schemas.microsoft.com/office/drawing/2014/main" id="{0F4C0B75-B298-49D2-871D-1C44B8475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7" name="Picture 716">
          <a:extLst>
            <a:ext uri="{FF2B5EF4-FFF2-40B4-BE49-F238E27FC236}">
              <a16:creationId xmlns:a16="http://schemas.microsoft.com/office/drawing/2014/main" id="{5CFE8E0C-FD41-4E43-BB18-452264F33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8" name="Picture 717">
          <a:extLst>
            <a:ext uri="{FF2B5EF4-FFF2-40B4-BE49-F238E27FC236}">
              <a16:creationId xmlns:a16="http://schemas.microsoft.com/office/drawing/2014/main" id="{B8A8B557-DF4B-4C01-ADEC-BA7ABC79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19" name="Picture 718">
          <a:extLst>
            <a:ext uri="{FF2B5EF4-FFF2-40B4-BE49-F238E27FC236}">
              <a16:creationId xmlns:a16="http://schemas.microsoft.com/office/drawing/2014/main" id="{F78D5E43-EF45-4D13-8D53-ADF944554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0" name="Picture 719">
          <a:extLst>
            <a:ext uri="{FF2B5EF4-FFF2-40B4-BE49-F238E27FC236}">
              <a16:creationId xmlns:a16="http://schemas.microsoft.com/office/drawing/2014/main" id="{53789E67-777A-4BA8-8BC8-9DA106710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1" name="Picture 720">
          <a:extLst>
            <a:ext uri="{FF2B5EF4-FFF2-40B4-BE49-F238E27FC236}">
              <a16:creationId xmlns:a16="http://schemas.microsoft.com/office/drawing/2014/main" id="{D22A8637-A673-4BE6-957D-5BAFC01F9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2" name="Picture 721">
          <a:extLst>
            <a:ext uri="{FF2B5EF4-FFF2-40B4-BE49-F238E27FC236}">
              <a16:creationId xmlns:a16="http://schemas.microsoft.com/office/drawing/2014/main" id="{43C5B4BC-A8DF-47C4-AC52-8C966AC54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3" name="Picture 722">
          <a:extLst>
            <a:ext uri="{FF2B5EF4-FFF2-40B4-BE49-F238E27FC236}">
              <a16:creationId xmlns:a16="http://schemas.microsoft.com/office/drawing/2014/main" id="{0FDE85EB-5E2B-4D9E-8221-B4C4341C7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4" name="Picture 723">
          <a:extLst>
            <a:ext uri="{FF2B5EF4-FFF2-40B4-BE49-F238E27FC236}">
              <a16:creationId xmlns:a16="http://schemas.microsoft.com/office/drawing/2014/main" id="{4D3AB664-9F00-4D22-BCE7-D1E4FF587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5" name="Picture 724">
          <a:extLst>
            <a:ext uri="{FF2B5EF4-FFF2-40B4-BE49-F238E27FC236}">
              <a16:creationId xmlns:a16="http://schemas.microsoft.com/office/drawing/2014/main" id="{8BC40E09-DE1D-48C1-9305-FE9E3106C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6" name="Picture 725">
          <a:extLst>
            <a:ext uri="{FF2B5EF4-FFF2-40B4-BE49-F238E27FC236}">
              <a16:creationId xmlns:a16="http://schemas.microsoft.com/office/drawing/2014/main" id="{85A9C8FD-1238-4DC3-BB72-C42067D5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7" name="Picture 726">
          <a:extLst>
            <a:ext uri="{FF2B5EF4-FFF2-40B4-BE49-F238E27FC236}">
              <a16:creationId xmlns:a16="http://schemas.microsoft.com/office/drawing/2014/main" id="{B2B54782-AB6C-4742-8826-09847AA3C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8" name="Picture 727">
          <a:extLst>
            <a:ext uri="{FF2B5EF4-FFF2-40B4-BE49-F238E27FC236}">
              <a16:creationId xmlns:a16="http://schemas.microsoft.com/office/drawing/2014/main" id="{A86DF395-DECA-44A3-9A2B-C6C33D7A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29" name="Picture 728">
          <a:extLst>
            <a:ext uri="{FF2B5EF4-FFF2-40B4-BE49-F238E27FC236}">
              <a16:creationId xmlns:a16="http://schemas.microsoft.com/office/drawing/2014/main" id="{F8F0E4A1-B6F2-4DC1-A565-63A038159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0" name="Picture 729">
          <a:extLst>
            <a:ext uri="{FF2B5EF4-FFF2-40B4-BE49-F238E27FC236}">
              <a16:creationId xmlns:a16="http://schemas.microsoft.com/office/drawing/2014/main" id="{F391B8B9-4BD6-420D-9659-94D74E0EC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1" name="Picture 730">
          <a:extLst>
            <a:ext uri="{FF2B5EF4-FFF2-40B4-BE49-F238E27FC236}">
              <a16:creationId xmlns:a16="http://schemas.microsoft.com/office/drawing/2014/main" id="{49769817-2829-442A-B1F5-9BBD4A90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2" name="Picture 731">
          <a:extLst>
            <a:ext uri="{FF2B5EF4-FFF2-40B4-BE49-F238E27FC236}">
              <a16:creationId xmlns:a16="http://schemas.microsoft.com/office/drawing/2014/main" id="{46E7DE72-0111-430D-BFB4-1444FEBC7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3" name="Picture 732">
          <a:extLst>
            <a:ext uri="{FF2B5EF4-FFF2-40B4-BE49-F238E27FC236}">
              <a16:creationId xmlns:a16="http://schemas.microsoft.com/office/drawing/2014/main" id="{45775151-2B04-4634-BE13-7906AE5A5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4" name="Picture 733">
          <a:extLst>
            <a:ext uri="{FF2B5EF4-FFF2-40B4-BE49-F238E27FC236}">
              <a16:creationId xmlns:a16="http://schemas.microsoft.com/office/drawing/2014/main" id="{1857DB85-6BE5-46CF-A02B-55F6C170B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5" name="Picture 734">
          <a:extLst>
            <a:ext uri="{FF2B5EF4-FFF2-40B4-BE49-F238E27FC236}">
              <a16:creationId xmlns:a16="http://schemas.microsoft.com/office/drawing/2014/main" id="{41CBD5BE-B36A-4B79-8A85-C485D22AD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6" name="Picture 735">
          <a:extLst>
            <a:ext uri="{FF2B5EF4-FFF2-40B4-BE49-F238E27FC236}">
              <a16:creationId xmlns:a16="http://schemas.microsoft.com/office/drawing/2014/main" id="{AFD1B94C-470B-43E1-9578-392D45659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7" name="Picture 736">
          <a:extLst>
            <a:ext uri="{FF2B5EF4-FFF2-40B4-BE49-F238E27FC236}">
              <a16:creationId xmlns:a16="http://schemas.microsoft.com/office/drawing/2014/main" id="{10A71F35-6A29-4972-A167-AB0974F1A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8" name="Picture 737">
          <a:extLst>
            <a:ext uri="{FF2B5EF4-FFF2-40B4-BE49-F238E27FC236}">
              <a16:creationId xmlns:a16="http://schemas.microsoft.com/office/drawing/2014/main" id="{E7C2E567-BD66-4C3C-89D9-7992A3B90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39" name="Picture 738">
          <a:extLst>
            <a:ext uri="{FF2B5EF4-FFF2-40B4-BE49-F238E27FC236}">
              <a16:creationId xmlns:a16="http://schemas.microsoft.com/office/drawing/2014/main" id="{4A9A06A9-2359-484C-AB4B-F59F114C2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0" name="Picture 739">
          <a:extLst>
            <a:ext uri="{FF2B5EF4-FFF2-40B4-BE49-F238E27FC236}">
              <a16:creationId xmlns:a16="http://schemas.microsoft.com/office/drawing/2014/main" id="{1C4A7854-5218-42B1-9C1C-22587E68C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1" name="Picture 740">
          <a:extLst>
            <a:ext uri="{FF2B5EF4-FFF2-40B4-BE49-F238E27FC236}">
              <a16:creationId xmlns:a16="http://schemas.microsoft.com/office/drawing/2014/main" id="{91E834C5-7546-4221-AF0D-A1A9B64AB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2" name="Picture 741">
          <a:extLst>
            <a:ext uri="{FF2B5EF4-FFF2-40B4-BE49-F238E27FC236}">
              <a16:creationId xmlns:a16="http://schemas.microsoft.com/office/drawing/2014/main" id="{231EF0AA-33BF-44CB-A9FB-4F7982514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3" name="Picture 742">
          <a:extLst>
            <a:ext uri="{FF2B5EF4-FFF2-40B4-BE49-F238E27FC236}">
              <a16:creationId xmlns:a16="http://schemas.microsoft.com/office/drawing/2014/main" id="{06D4A184-FB10-4028-9862-951F41F87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4" name="Picture 743">
          <a:extLst>
            <a:ext uri="{FF2B5EF4-FFF2-40B4-BE49-F238E27FC236}">
              <a16:creationId xmlns:a16="http://schemas.microsoft.com/office/drawing/2014/main" id="{27B1FB4F-13C5-4656-98C1-B053F79CD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5" name="Picture 744">
          <a:extLst>
            <a:ext uri="{FF2B5EF4-FFF2-40B4-BE49-F238E27FC236}">
              <a16:creationId xmlns:a16="http://schemas.microsoft.com/office/drawing/2014/main" id="{E792EEF3-BB28-49DB-82E4-7DFF33A41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6" name="Picture 745">
          <a:extLst>
            <a:ext uri="{FF2B5EF4-FFF2-40B4-BE49-F238E27FC236}">
              <a16:creationId xmlns:a16="http://schemas.microsoft.com/office/drawing/2014/main" id="{7F165F55-384F-4D6C-A4AC-D8C2AB7ED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7" name="Picture 746">
          <a:extLst>
            <a:ext uri="{FF2B5EF4-FFF2-40B4-BE49-F238E27FC236}">
              <a16:creationId xmlns:a16="http://schemas.microsoft.com/office/drawing/2014/main" id="{7C4A2102-BFC6-4E5E-B47A-2A5C8641A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8" name="Picture 747">
          <a:extLst>
            <a:ext uri="{FF2B5EF4-FFF2-40B4-BE49-F238E27FC236}">
              <a16:creationId xmlns:a16="http://schemas.microsoft.com/office/drawing/2014/main" id="{A6EFB3C4-08DC-42E2-B669-F5C61529C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49" name="Picture 748">
          <a:extLst>
            <a:ext uri="{FF2B5EF4-FFF2-40B4-BE49-F238E27FC236}">
              <a16:creationId xmlns:a16="http://schemas.microsoft.com/office/drawing/2014/main" id="{CA458D3A-70AD-4F1D-AF8D-A54BC5753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0" name="Picture 749">
          <a:extLst>
            <a:ext uri="{FF2B5EF4-FFF2-40B4-BE49-F238E27FC236}">
              <a16:creationId xmlns:a16="http://schemas.microsoft.com/office/drawing/2014/main" id="{D6FA5C8E-3DA2-44A1-9F31-2BEB5ADBA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1" name="Picture 750">
          <a:extLst>
            <a:ext uri="{FF2B5EF4-FFF2-40B4-BE49-F238E27FC236}">
              <a16:creationId xmlns:a16="http://schemas.microsoft.com/office/drawing/2014/main" id="{C69E2F26-B180-4239-BAFA-BCCE2B7B0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2" name="Picture 751">
          <a:extLst>
            <a:ext uri="{FF2B5EF4-FFF2-40B4-BE49-F238E27FC236}">
              <a16:creationId xmlns:a16="http://schemas.microsoft.com/office/drawing/2014/main" id="{715C49FB-3DF9-46FA-BCE1-79317E46A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3" name="Picture 752">
          <a:extLst>
            <a:ext uri="{FF2B5EF4-FFF2-40B4-BE49-F238E27FC236}">
              <a16:creationId xmlns:a16="http://schemas.microsoft.com/office/drawing/2014/main" id="{9E3B67AB-2F3D-4EAB-99ED-4232F10D6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4" name="Picture 753">
          <a:extLst>
            <a:ext uri="{FF2B5EF4-FFF2-40B4-BE49-F238E27FC236}">
              <a16:creationId xmlns:a16="http://schemas.microsoft.com/office/drawing/2014/main" id="{E5268D78-A5A3-4B3A-BE0A-272F2FA14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5" name="Picture 754">
          <a:extLst>
            <a:ext uri="{FF2B5EF4-FFF2-40B4-BE49-F238E27FC236}">
              <a16:creationId xmlns:a16="http://schemas.microsoft.com/office/drawing/2014/main" id="{836A2848-A517-4D35-B0F3-49D8F5E75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6" name="Picture 755">
          <a:extLst>
            <a:ext uri="{FF2B5EF4-FFF2-40B4-BE49-F238E27FC236}">
              <a16:creationId xmlns:a16="http://schemas.microsoft.com/office/drawing/2014/main" id="{49E2DDF8-0C88-429D-87BD-5340BBA68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7" name="Picture 756">
          <a:extLst>
            <a:ext uri="{FF2B5EF4-FFF2-40B4-BE49-F238E27FC236}">
              <a16:creationId xmlns:a16="http://schemas.microsoft.com/office/drawing/2014/main" id="{5EB74831-C8A4-4DF8-BE74-13B14FFA7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8" name="Picture 757">
          <a:extLst>
            <a:ext uri="{FF2B5EF4-FFF2-40B4-BE49-F238E27FC236}">
              <a16:creationId xmlns:a16="http://schemas.microsoft.com/office/drawing/2014/main" id="{2D1CB7B7-0747-442B-81E4-93929A812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59" name="Picture 758">
          <a:extLst>
            <a:ext uri="{FF2B5EF4-FFF2-40B4-BE49-F238E27FC236}">
              <a16:creationId xmlns:a16="http://schemas.microsoft.com/office/drawing/2014/main" id="{7B7899CA-D463-4D87-BA03-7680B1D7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0" name="Picture 759">
          <a:extLst>
            <a:ext uri="{FF2B5EF4-FFF2-40B4-BE49-F238E27FC236}">
              <a16:creationId xmlns:a16="http://schemas.microsoft.com/office/drawing/2014/main" id="{34A62BB9-7DA1-43F7-80DE-0EC73A829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1" name="Picture 760">
          <a:extLst>
            <a:ext uri="{FF2B5EF4-FFF2-40B4-BE49-F238E27FC236}">
              <a16:creationId xmlns:a16="http://schemas.microsoft.com/office/drawing/2014/main" id="{C72657D9-2BC0-4BED-B675-E33F1C396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2" name="Picture 761">
          <a:extLst>
            <a:ext uri="{FF2B5EF4-FFF2-40B4-BE49-F238E27FC236}">
              <a16:creationId xmlns:a16="http://schemas.microsoft.com/office/drawing/2014/main" id="{6BB02365-D48F-4DF2-AF9C-5E5E77DF5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3" name="Picture 762">
          <a:extLst>
            <a:ext uri="{FF2B5EF4-FFF2-40B4-BE49-F238E27FC236}">
              <a16:creationId xmlns:a16="http://schemas.microsoft.com/office/drawing/2014/main" id="{7D1A15AF-D7B6-4C47-8220-DA575AEC5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4" name="Picture 763">
          <a:extLst>
            <a:ext uri="{FF2B5EF4-FFF2-40B4-BE49-F238E27FC236}">
              <a16:creationId xmlns:a16="http://schemas.microsoft.com/office/drawing/2014/main" id="{DBCDCB45-6FBF-4FCC-BB78-D18536FC5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5" name="Picture 764">
          <a:extLst>
            <a:ext uri="{FF2B5EF4-FFF2-40B4-BE49-F238E27FC236}">
              <a16:creationId xmlns:a16="http://schemas.microsoft.com/office/drawing/2014/main" id="{2AA876BD-D165-460E-9C29-7BD9268EE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6" name="Picture 765">
          <a:extLst>
            <a:ext uri="{FF2B5EF4-FFF2-40B4-BE49-F238E27FC236}">
              <a16:creationId xmlns:a16="http://schemas.microsoft.com/office/drawing/2014/main" id="{0027889F-E784-4E59-A226-5029DA988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7" name="Picture 766">
          <a:extLst>
            <a:ext uri="{FF2B5EF4-FFF2-40B4-BE49-F238E27FC236}">
              <a16:creationId xmlns:a16="http://schemas.microsoft.com/office/drawing/2014/main" id="{8A4C57D4-BD8B-4CD2-AFB1-6A1DA268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8" name="Picture 767">
          <a:extLst>
            <a:ext uri="{FF2B5EF4-FFF2-40B4-BE49-F238E27FC236}">
              <a16:creationId xmlns:a16="http://schemas.microsoft.com/office/drawing/2014/main" id="{8EA20F34-159B-4114-BB78-B3059D9E3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69" name="Picture 768">
          <a:extLst>
            <a:ext uri="{FF2B5EF4-FFF2-40B4-BE49-F238E27FC236}">
              <a16:creationId xmlns:a16="http://schemas.microsoft.com/office/drawing/2014/main" id="{7B6D54DF-B835-481D-8853-D963E91FC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0" name="Picture 769">
          <a:extLst>
            <a:ext uri="{FF2B5EF4-FFF2-40B4-BE49-F238E27FC236}">
              <a16:creationId xmlns:a16="http://schemas.microsoft.com/office/drawing/2014/main" id="{74A8E347-759F-4C26-B99A-DF9E18F75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1" name="Picture 770">
          <a:extLst>
            <a:ext uri="{FF2B5EF4-FFF2-40B4-BE49-F238E27FC236}">
              <a16:creationId xmlns:a16="http://schemas.microsoft.com/office/drawing/2014/main" id="{071B67AD-711A-49B0-9763-F7F78467D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2" name="Picture 771">
          <a:extLst>
            <a:ext uri="{FF2B5EF4-FFF2-40B4-BE49-F238E27FC236}">
              <a16:creationId xmlns:a16="http://schemas.microsoft.com/office/drawing/2014/main" id="{AF44DFBA-802D-4C59-B69F-1A0A0F87D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3" name="Picture 772">
          <a:extLst>
            <a:ext uri="{FF2B5EF4-FFF2-40B4-BE49-F238E27FC236}">
              <a16:creationId xmlns:a16="http://schemas.microsoft.com/office/drawing/2014/main" id="{F92A5A5D-A743-445D-8364-9AB956232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4" name="Picture 773">
          <a:extLst>
            <a:ext uri="{FF2B5EF4-FFF2-40B4-BE49-F238E27FC236}">
              <a16:creationId xmlns:a16="http://schemas.microsoft.com/office/drawing/2014/main" id="{2F7E068F-F784-436C-9FDA-AB88D716F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5" name="Picture 774">
          <a:extLst>
            <a:ext uri="{FF2B5EF4-FFF2-40B4-BE49-F238E27FC236}">
              <a16:creationId xmlns:a16="http://schemas.microsoft.com/office/drawing/2014/main" id="{40465E25-D2AB-415A-B47B-89263F9F5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6" name="Picture 775">
          <a:extLst>
            <a:ext uri="{FF2B5EF4-FFF2-40B4-BE49-F238E27FC236}">
              <a16:creationId xmlns:a16="http://schemas.microsoft.com/office/drawing/2014/main" id="{52CD4A6F-4DC9-4709-8110-3C62F6AED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7" name="Picture 776">
          <a:extLst>
            <a:ext uri="{FF2B5EF4-FFF2-40B4-BE49-F238E27FC236}">
              <a16:creationId xmlns:a16="http://schemas.microsoft.com/office/drawing/2014/main" id="{0F1932E5-425E-4B70-B7A0-0CFA08DA1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8" name="Picture 777">
          <a:extLst>
            <a:ext uri="{FF2B5EF4-FFF2-40B4-BE49-F238E27FC236}">
              <a16:creationId xmlns:a16="http://schemas.microsoft.com/office/drawing/2014/main" id="{1A81A684-14C9-46CA-B5AF-8D5EAB9A3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79" name="Picture 778">
          <a:extLst>
            <a:ext uri="{FF2B5EF4-FFF2-40B4-BE49-F238E27FC236}">
              <a16:creationId xmlns:a16="http://schemas.microsoft.com/office/drawing/2014/main" id="{5FB0D57C-F4F9-4870-A34F-A048D2975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0" name="Picture 779">
          <a:extLst>
            <a:ext uri="{FF2B5EF4-FFF2-40B4-BE49-F238E27FC236}">
              <a16:creationId xmlns:a16="http://schemas.microsoft.com/office/drawing/2014/main" id="{C931C719-AA7F-41E0-BB24-96966E8CA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1" name="Picture 780">
          <a:extLst>
            <a:ext uri="{FF2B5EF4-FFF2-40B4-BE49-F238E27FC236}">
              <a16:creationId xmlns:a16="http://schemas.microsoft.com/office/drawing/2014/main" id="{504B5C6C-784F-427B-808B-C0B3169B2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2" name="Picture 781">
          <a:extLst>
            <a:ext uri="{FF2B5EF4-FFF2-40B4-BE49-F238E27FC236}">
              <a16:creationId xmlns:a16="http://schemas.microsoft.com/office/drawing/2014/main" id="{85AFED6C-8707-43BE-A6F9-7B99C2A6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3" name="Picture 782">
          <a:extLst>
            <a:ext uri="{FF2B5EF4-FFF2-40B4-BE49-F238E27FC236}">
              <a16:creationId xmlns:a16="http://schemas.microsoft.com/office/drawing/2014/main" id="{97A3830E-468F-4E70-8533-039EC7431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4" name="Picture 783">
          <a:extLst>
            <a:ext uri="{FF2B5EF4-FFF2-40B4-BE49-F238E27FC236}">
              <a16:creationId xmlns:a16="http://schemas.microsoft.com/office/drawing/2014/main" id="{9B8D27C3-487D-40C7-95CA-FF9D2DA41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5" name="Picture 784">
          <a:extLst>
            <a:ext uri="{FF2B5EF4-FFF2-40B4-BE49-F238E27FC236}">
              <a16:creationId xmlns:a16="http://schemas.microsoft.com/office/drawing/2014/main" id="{A87E03A5-146E-4DE2-8DF1-7990C02F6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6" name="Picture 785">
          <a:extLst>
            <a:ext uri="{FF2B5EF4-FFF2-40B4-BE49-F238E27FC236}">
              <a16:creationId xmlns:a16="http://schemas.microsoft.com/office/drawing/2014/main" id="{A266841F-5158-4AA2-B950-0E258862E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7" name="Picture 786">
          <a:extLst>
            <a:ext uri="{FF2B5EF4-FFF2-40B4-BE49-F238E27FC236}">
              <a16:creationId xmlns:a16="http://schemas.microsoft.com/office/drawing/2014/main" id="{4C6CFF82-FF25-44B0-9AA2-53037B1B5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8" name="Picture 787">
          <a:extLst>
            <a:ext uri="{FF2B5EF4-FFF2-40B4-BE49-F238E27FC236}">
              <a16:creationId xmlns:a16="http://schemas.microsoft.com/office/drawing/2014/main" id="{58738F31-0DBB-49BD-B3AA-0B95F9458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89" name="Picture 788">
          <a:extLst>
            <a:ext uri="{FF2B5EF4-FFF2-40B4-BE49-F238E27FC236}">
              <a16:creationId xmlns:a16="http://schemas.microsoft.com/office/drawing/2014/main" id="{ECD01027-035F-4643-9785-D37E692B4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0" name="Picture 789">
          <a:extLst>
            <a:ext uri="{FF2B5EF4-FFF2-40B4-BE49-F238E27FC236}">
              <a16:creationId xmlns:a16="http://schemas.microsoft.com/office/drawing/2014/main" id="{0BE14E23-9133-45A6-9D31-E9D9BDE0C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1" name="Picture 790">
          <a:extLst>
            <a:ext uri="{FF2B5EF4-FFF2-40B4-BE49-F238E27FC236}">
              <a16:creationId xmlns:a16="http://schemas.microsoft.com/office/drawing/2014/main" id="{089AF139-F4C2-487E-8C0B-9227135D0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2" name="Picture 791">
          <a:extLst>
            <a:ext uri="{FF2B5EF4-FFF2-40B4-BE49-F238E27FC236}">
              <a16:creationId xmlns:a16="http://schemas.microsoft.com/office/drawing/2014/main" id="{B9A411BB-6F8D-4683-B629-8AB1CF970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3" name="Picture 792">
          <a:extLst>
            <a:ext uri="{FF2B5EF4-FFF2-40B4-BE49-F238E27FC236}">
              <a16:creationId xmlns:a16="http://schemas.microsoft.com/office/drawing/2014/main" id="{A176483C-A1A8-4E5B-8B9B-9D9B026E9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4" name="Picture 793">
          <a:extLst>
            <a:ext uri="{FF2B5EF4-FFF2-40B4-BE49-F238E27FC236}">
              <a16:creationId xmlns:a16="http://schemas.microsoft.com/office/drawing/2014/main" id="{2E22A331-8E96-4208-A957-7AF9034D4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5" name="Picture 794">
          <a:extLst>
            <a:ext uri="{FF2B5EF4-FFF2-40B4-BE49-F238E27FC236}">
              <a16:creationId xmlns:a16="http://schemas.microsoft.com/office/drawing/2014/main" id="{BE8DCD0F-B8DA-45CF-8CAE-206238190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6" name="Picture 795">
          <a:extLst>
            <a:ext uri="{FF2B5EF4-FFF2-40B4-BE49-F238E27FC236}">
              <a16:creationId xmlns:a16="http://schemas.microsoft.com/office/drawing/2014/main" id="{24438281-E93F-477D-A666-B2FC7D2D4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7" name="Picture 796">
          <a:extLst>
            <a:ext uri="{FF2B5EF4-FFF2-40B4-BE49-F238E27FC236}">
              <a16:creationId xmlns:a16="http://schemas.microsoft.com/office/drawing/2014/main" id="{3967017A-4412-452D-ADF5-921C7142F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8" name="Picture 797">
          <a:extLst>
            <a:ext uri="{FF2B5EF4-FFF2-40B4-BE49-F238E27FC236}">
              <a16:creationId xmlns:a16="http://schemas.microsoft.com/office/drawing/2014/main" id="{84BDAD67-4141-42C2-8D65-93F2D00EA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799" name="Picture 798">
          <a:extLst>
            <a:ext uri="{FF2B5EF4-FFF2-40B4-BE49-F238E27FC236}">
              <a16:creationId xmlns:a16="http://schemas.microsoft.com/office/drawing/2014/main" id="{8902C54A-6CA3-4B2A-A217-118AA4B98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0" name="Picture 799">
          <a:extLst>
            <a:ext uri="{FF2B5EF4-FFF2-40B4-BE49-F238E27FC236}">
              <a16:creationId xmlns:a16="http://schemas.microsoft.com/office/drawing/2014/main" id="{4DF808AC-5977-40DB-8087-6DBDBDFFD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1" name="Picture 800">
          <a:extLst>
            <a:ext uri="{FF2B5EF4-FFF2-40B4-BE49-F238E27FC236}">
              <a16:creationId xmlns:a16="http://schemas.microsoft.com/office/drawing/2014/main" id="{D8E2213F-C87C-4F6E-BF72-5493CB78F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2" name="Picture 801">
          <a:extLst>
            <a:ext uri="{FF2B5EF4-FFF2-40B4-BE49-F238E27FC236}">
              <a16:creationId xmlns:a16="http://schemas.microsoft.com/office/drawing/2014/main" id="{3F6BE362-5862-40F1-BBC2-F8FB74D3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3" name="Picture 802">
          <a:extLst>
            <a:ext uri="{FF2B5EF4-FFF2-40B4-BE49-F238E27FC236}">
              <a16:creationId xmlns:a16="http://schemas.microsoft.com/office/drawing/2014/main" id="{70BB9B4A-9E26-4BF1-B8FC-870F2FFA5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4" name="Picture 803">
          <a:extLst>
            <a:ext uri="{FF2B5EF4-FFF2-40B4-BE49-F238E27FC236}">
              <a16:creationId xmlns:a16="http://schemas.microsoft.com/office/drawing/2014/main" id="{412056E7-FF2C-444E-A04F-70D63D157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5" name="Picture 804">
          <a:extLst>
            <a:ext uri="{FF2B5EF4-FFF2-40B4-BE49-F238E27FC236}">
              <a16:creationId xmlns:a16="http://schemas.microsoft.com/office/drawing/2014/main" id="{CC22E9DF-BC1A-4A09-9AEA-5BACE3F76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6" name="Picture 805">
          <a:extLst>
            <a:ext uri="{FF2B5EF4-FFF2-40B4-BE49-F238E27FC236}">
              <a16:creationId xmlns:a16="http://schemas.microsoft.com/office/drawing/2014/main" id="{F103BB35-74ED-4252-9449-5D72D3842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7" name="Picture 806">
          <a:extLst>
            <a:ext uri="{FF2B5EF4-FFF2-40B4-BE49-F238E27FC236}">
              <a16:creationId xmlns:a16="http://schemas.microsoft.com/office/drawing/2014/main" id="{019E93CF-4997-4732-BC0E-4242ADBD5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8" name="Picture 807">
          <a:extLst>
            <a:ext uri="{FF2B5EF4-FFF2-40B4-BE49-F238E27FC236}">
              <a16:creationId xmlns:a16="http://schemas.microsoft.com/office/drawing/2014/main" id="{11068BF1-D87C-4F6B-B675-1C76F664D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09" name="Picture 808">
          <a:extLst>
            <a:ext uri="{FF2B5EF4-FFF2-40B4-BE49-F238E27FC236}">
              <a16:creationId xmlns:a16="http://schemas.microsoft.com/office/drawing/2014/main" id="{A1F3EE43-8E0F-4F71-A632-9DA5E1B92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0" name="Picture 809">
          <a:extLst>
            <a:ext uri="{FF2B5EF4-FFF2-40B4-BE49-F238E27FC236}">
              <a16:creationId xmlns:a16="http://schemas.microsoft.com/office/drawing/2014/main" id="{EA76C25E-47DB-429F-8740-3C7C342CB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1" name="Picture 810">
          <a:extLst>
            <a:ext uri="{FF2B5EF4-FFF2-40B4-BE49-F238E27FC236}">
              <a16:creationId xmlns:a16="http://schemas.microsoft.com/office/drawing/2014/main" id="{9AF597E7-2FA3-43A3-85DA-C4D5FA8D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2" name="Picture 811">
          <a:extLst>
            <a:ext uri="{FF2B5EF4-FFF2-40B4-BE49-F238E27FC236}">
              <a16:creationId xmlns:a16="http://schemas.microsoft.com/office/drawing/2014/main" id="{4FAD8BCD-276E-412F-8C38-0F3EDA6A1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3" name="Picture 812">
          <a:extLst>
            <a:ext uri="{FF2B5EF4-FFF2-40B4-BE49-F238E27FC236}">
              <a16:creationId xmlns:a16="http://schemas.microsoft.com/office/drawing/2014/main" id="{B3C94216-2AFE-481B-BCFB-AEF286400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4" name="Picture 813">
          <a:extLst>
            <a:ext uri="{FF2B5EF4-FFF2-40B4-BE49-F238E27FC236}">
              <a16:creationId xmlns:a16="http://schemas.microsoft.com/office/drawing/2014/main" id="{38C97248-F159-489B-B1F6-66078942F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5" name="Picture 814">
          <a:extLst>
            <a:ext uri="{FF2B5EF4-FFF2-40B4-BE49-F238E27FC236}">
              <a16:creationId xmlns:a16="http://schemas.microsoft.com/office/drawing/2014/main" id="{2794D228-F742-4AA4-A81C-69A1A9875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6" name="Picture 815">
          <a:extLst>
            <a:ext uri="{FF2B5EF4-FFF2-40B4-BE49-F238E27FC236}">
              <a16:creationId xmlns:a16="http://schemas.microsoft.com/office/drawing/2014/main" id="{2389AC6D-A3AB-47EE-AA52-6237C0AE2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7" name="Picture 816">
          <a:extLst>
            <a:ext uri="{FF2B5EF4-FFF2-40B4-BE49-F238E27FC236}">
              <a16:creationId xmlns:a16="http://schemas.microsoft.com/office/drawing/2014/main" id="{BB0861A9-79A3-44F0-9AF9-7CA107F02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8" name="Picture 817">
          <a:extLst>
            <a:ext uri="{FF2B5EF4-FFF2-40B4-BE49-F238E27FC236}">
              <a16:creationId xmlns:a16="http://schemas.microsoft.com/office/drawing/2014/main" id="{4B3C20D7-17E0-4367-A4FB-0FF3655B1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19" name="Picture 818">
          <a:extLst>
            <a:ext uri="{FF2B5EF4-FFF2-40B4-BE49-F238E27FC236}">
              <a16:creationId xmlns:a16="http://schemas.microsoft.com/office/drawing/2014/main" id="{5C6CD3F7-3D49-4E57-9410-FB7156D67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0" name="Picture 819">
          <a:extLst>
            <a:ext uri="{FF2B5EF4-FFF2-40B4-BE49-F238E27FC236}">
              <a16:creationId xmlns:a16="http://schemas.microsoft.com/office/drawing/2014/main" id="{7E210CD9-0BCF-475B-8B20-3F401BFE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1" name="Picture 820">
          <a:extLst>
            <a:ext uri="{FF2B5EF4-FFF2-40B4-BE49-F238E27FC236}">
              <a16:creationId xmlns:a16="http://schemas.microsoft.com/office/drawing/2014/main" id="{29A3730A-B4C5-4B04-875B-11E3E247A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2" name="Picture 821">
          <a:extLst>
            <a:ext uri="{FF2B5EF4-FFF2-40B4-BE49-F238E27FC236}">
              <a16:creationId xmlns:a16="http://schemas.microsoft.com/office/drawing/2014/main" id="{63AAF42D-9CFE-4C2D-AD24-A28875386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3" name="Picture 822">
          <a:extLst>
            <a:ext uri="{FF2B5EF4-FFF2-40B4-BE49-F238E27FC236}">
              <a16:creationId xmlns:a16="http://schemas.microsoft.com/office/drawing/2014/main" id="{1471A59C-EDAE-43AF-B4DB-7864900E6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4" name="Picture 823">
          <a:extLst>
            <a:ext uri="{FF2B5EF4-FFF2-40B4-BE49-F238E27FC236}">
              <a16:creationId xmlns:a16="http://schemas.microsoft.com/office/drawing/2014/main" id="{86C63016-A8A2-41EF-A87D-D38C56256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5" name="Picture 824">
          <a:extLst>
            <a:ext uri="{FF2B5EF4-FFF2-40B4-BE49-F238E27FC236}">
              <a16:creationId xmlns:a16="http://schemas.microsoft.com/office/drawing/2014/main" id="{1D0BA514-CE28-416C-993E-308903C4B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6" name="Picture 825">
          <a:extLst>
            <a:ext uri="{FF2B5EF4-FFF2-40B4-BE49-F238E27FC236}">
              <a16:creationId xmlns:a16="http://schemas.microsoft.com/office/drawing/2014/main" id="{F7702F28-317B-4C3A-819C-0B51BB8E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7" name="Picture 826">
          <a:extLst>
            <a:ext uri="{FF2B5EF4-FFF2-40B4-BE49-F238E27FC236}">
              <a16:creationId xmlns:a16="http://schemas.microsoft.com/office/drawing/2014/main" id="{37B9FE85-A53C-48AD-9262-B242B5C20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8" name="Picture 827">
          <a:extLst>
            <a:ext uri="{FF2B5EF4-FFF2-40B4-BE49-F238E27FC236}">
              <a16:creationId xmlns:a16="http://schemas.microsoft.com/office/drawing/2014/main" id="{B7D45B0E-6D29-4938-B568-4B5DF6F52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29" name="Picture 828">
          <a:extLst>
            <a:ext uri="{FF2B5EF4-FFF2-40B4-BE49-F238E27FC236}">
              <a16:creationId xmlns:a16="http://schemas.microsoft.com/office/drawing/2014/main" id="{E5B19DB5-7C9F-45EC-A470-7C88B84A4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0" name="Picture 829">
          <a:extLst>
            <a:ext uri="{FF2B5EF4-FFF2-40B4-BE49-F238E27FC236}">
              <a16:creationId xmlns:a16="http://schemas.microsoft.com/office/drawing/2014/main" id="{350D9C25-FA2C-4793-B840-DA03E67F4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1" name="Picture 830">
          <a:extLst>
            <a:ext uri="{FF2B5EF4-FFF2-40B4-BE49-F238E27FC236}">
              <a16:creationId xmlns:a16="http://schemas.microsoft.com/office/drawing/2014/main" id="{5C0E8ECB-17F8-4C3E-8333-608B884B3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2" name="Picture 831">
          <a:extLst>
            <a:ext uri="{FF2B5EF4-FFF2-40B4-BE49-F238E27FC236}">
              <a16:creationId xmlns:a16="http://schemas.microsoft.com/office/drawing/2014/main" id="{1F3B4E81-4877-42BD-BAF6-E78B3900C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3" name="Picture 832">
          <a:extLst>
            <a:ext uri="{FF2B5EF4-FFF2-40B4-BE49-F238E27FC236}">
              <a16:creationId xmlns:a16="http://schemas.microsoft.com/office/drawing/2014/main" id="{5DC43E62-1EA8-47F2-AB92-843F3EA3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4" name="Picture 833">
          <a:extLst>
            <a:ext uri="{FF2B5EF4-FFF2-40B4-BE49-F238E27FC236}">
              <a16:creationId xmlns:a16="http://schemas.microsoft.com/office/drawing/2014/main" id="{8DD65554-F1C9-402E-95A9-EC964F86A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5" name="Picture 834">
          <a:extLst>
            <a:ext uri="{FF2B5EF4-FFF2-40B4-BE49-F238E27FC236}">
              <a16:creationId xmlns:a16="http://schemas.microsoft.com/office/drawing/2014/main" id="{23C2E15B-5EE4-4238-A416-3EEAA74D9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6" name="Picture 835">
          <a:extLst>
            <a:ext uri="{FF2B5EF4-FFF2-40B4-BE49-F238E27FC236}">
              <a16:creationId xmlns:a16="http://schemas.microsoft.com/office/drawing/2014/main" id="{9869DA88-2499-4CF6-9FD8-AEB1A712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7" name="Picture 836">
          <a:extLst>
            <a:ext uri="{FF2B5EF4-FFF2-40B4-BE49-F238E27FC236}">
              <a16:creationId xmlns:a16="http://schemas.microsoft.com/office/drawing/2014/main" id="{41A9150A-B7C3-47D2-8C28-EFCF78709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8" name="Picture 837">
          <a:extLst>
            <a:ext uri="{FF2B5EF4-FFF2-40B4-BE49-F238E27FC236}">
              <a16:creationId xmlns:a16="http://schemas.microsoft.com/office/drawing/2014/main" id="{EFB38306-6672-4608-8F6B-4E937BCD0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39" name="Picture 838">
          <a:extLst>
            <a:ext uri="{FF2B5EF4-FFF2-40B4-BE49-F238E27FC236}">
              <a16:creationId xmlns:a16="http://schemas.microsoft.com/office/drawing/2014/main" id="{69E9FC18-711B-4C68-851C-A296EBF32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0" name="Picture 839">
          <a:extLst>
            <a:ext uri="{FF2B5EF4-FFF2-40B4-BE49-F238E27FC236}">
              <a16:creationId xmlns:a16="http://schemas.microsoft.com/office/drawing/2014/main" id="{4EF3CACE-DD71-40DA-A24E-72CD9566A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1" name="Picture 840">
          <a:extLst>
            <a:ext uri="{FF2B5EF4-FFF2-40B4-BE49-F238E27FC236}">
              <a16:creationId xmlns:a16="http://schemas.microsoft.com/office/drawing/2014/main" id="{7EEC353D-DCAB-498B-BA93-42E6EE631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2" name="Picture 841">
          <a:extLst>
            <a:ext uri="{FF2B5EF4-FFF2-40B4-BE49-F238E27FC236}">
              <a16:creationId xmlns:a16="http://schemas.microsoft.com/office/drawing/2014/main" id="{58555D5A-F86F-41F8-8F1C-5FF187AFC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3" name="Picture 842">
          <a:extLst>
            <a:ext uri="{FF2B5EF4-FFF2-40B4-BE49-F238E27FC236}">
              <a16:creationId xmlns:a16="http://schemas.microsoft.com/office/drawing/2014/main" id="{5BDAB684-CDF2-4CAE-A84A-FA3C059F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4" name="Picture 843">
          <a:extLst>
            <a:ext uri="{FF2B5EF4-FFF2-40B4-BE49-F238E27FC236}">
              <a16:creationId xmlns:a16="http://schemas.microsoft.com/office/drawing/2014/main" id="{7BCD6AE4-C023-4B5F-920B-82A1CE549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5" name="Picture 844">
          <a:extLst>
            <a:ext uri="{FF2B5EF4-FFF2-40B4-BE49-F238E27FC236}">
              <a16:creationId xmlns:a16="http://schemas.microsoft.com/office/drawing/2014/main" id="{8957B94B-1F91-4C18-A986-A22D8D575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6" name="Picture 845">
          <a:extLst>
            <a:ext uri="{FF2B5EF4-FFF2-40B4-BE49-F238E27FC236}">
              <a16:creationId xmlns:a16="http://schemas.microsoft.com/office/drawing/2014/main" id="{C918F397-A2AA-48E4-BB75-65BB39E1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7" name="Picture 846">
          <a:extLst>
            <a:ext uri="{FF2B5EF4-FFF2-40B4-BE49-F238E27FC236}">
              <a16:creationId xmlns:a16="http://schemas.microsoft.com/office/drawing/2014/main" id="{DC55D868-0BEC-444C-8468-62EBEAE38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8" name="Picture 847">
          <a:extLst>
            <a:ext uri="{FF2B5EF4-FFF2-40B4-BE49-F238E27FC236}">
              <a16:creationId xmlns:a16="http://schemas.microsoft.com/office/drawing/2014/main" id="{59EE8A6C-49FD-45AD-AB4F-B306BDBCE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49" name="Picture 848">
          <a:extLst>
            <a:ext uri="{FF2B5EF4-FFF2-40B4-BE49-F238E27FC236}">
              <a16:creationId xmlns:a16="http://schemas.microsoft.com/office/drawing/2014/main" id="{72C5A67B-8A41-4DE6-B4AA-A2EA0B395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0" name="Picture 849">
          <a:extLst>
            <a:ext uri="{FF2B5EF4-FFF2-40B4-BE49-F238E27FC236}">
              <a16:creationId xmlns:a16="http://schemas.microsoft.com/office/drawing/2014/main" id="{3AD878AC-D8DA-4EF3-97E0-60FA0365A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1" name="Picture 850">
          <a:extLst>
            <a:ext uri="{FF2B5EF4-FFF2-40B4-BE49-F238E27FC236}">
              <a16:creationId xmlns:a16="http://schemas.microsoft.com/office/drawing/2014/main" id="{05D365CF-1BBD-49EB-B6DF-7AEF770F2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2" name="Picture 851">
          <a:extLst>
            <a:ext uri="{FF2B5EF4-FFF2-40B4-BE49-F238E27FC236}">
              <a16:creationId xmlns:a16="http://schemas.microsoft.com/office/drawing/2014/main" id="{FBA0292F-CC87-4DCC-8D22-B22EFA5D0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3" name="Picture 852">
          <a:extLst>
            <a:ext uri="{FF2B5EF4-FFF2-40B4-BE49-F238E27FC236}">
              <a16:creationId xmlns:a16="http://schemas.microsoft.com/office/drawing/2014/main" id="{C5CEE444-F8E5-4543-B9E1-F2F69F84C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4" name="Picture 853">
          <a:extLst>
            <a:ext uri="{FF2B5EF4-FFF2-40B4-BE49-F238E27FC236}">
              <a16:creationId xmlns:a16="http://schemas.microsoft.com/office/drawing/2014/main" id="{01A29E24-9E92-4C60-8E56-EBC4B2AC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5" name="Picture 854">
          <a:extLst>
            <a:ext uri="{FF2B5EF4-FFF2-40B4-BE49-F238E27FC236}">
              <a16:creationId xmlns:a16="http://schemas.microsoft.com/office/drawing/2014/main" id="{A1A229D4-4A94-447C-A32B-F26C72FB7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6" name="Picture 855">
          <a:extLst>
            <a:ext uri="{FF2B5EF4-FFF2-40B4-BE49-F238E27FC236}">
              <a16:creationId xmlns:a16="http://schemas.microsoft.com/office/drawing/2014/main" id="{4C0F6A1E-D255-4DE3-A9C1-54D5EF18D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7" name="Picture 856">
          <a:extLst>
            <a:ext uri="{FF2B5EF4-FFF2-40B4-BE49-F238E27FC236}">
              <a16:creationId xmlns:a16="http://schemas.microsoft.com/office/drawing/2014/main" id="{E1BFD1D4-E412-4BDF-9B3D-40031384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8" name="Picture 857">
          <a:extLst>
            <a:ext uri="{FF2B5EF4-FFF2-40B4-BE49-F238E27FC236}">
              <a16:creationId xmlns:a16="http://schemas.microsoft.com/office/drawing/2014/main" id="{3B79F6B8-1917-4825-AC93-C2E764DED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59" name="Picture 858">
          <a:extLst>
            <a:ext uri="{FF2B5EF4-FFF2-40B4-BE49-F238E27FC236}">
              <a16:creationId xmlns:a16="http://schemas.microsoft.com/office/drawing/2014/main" id="{8D74AD78-06DF-46CC-8A9A-07D1EE842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0" name="Picture 859">
          <a:extLst>
            <a:ext uri="{FF2B5EF4-FFF2-40B4-BE49-F238E27FC236}">
              <a16:creationId xmlns:a16="http://schemas.microsoft.com/office/drawing/2014/main" id="{95B39096-2B3C-43AF-B1B4-B0F06F23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1" name="Picture 860">
          <a:extLst>
            <a:ext uri="{FF2B5EF4-FFF2-40B4-BE49-F238E27FC236}">
              <a16:creationId xmlns:a16="http://schemas.microsoft.com/office/drawing/2014/main" id="{BED0B99E-1579-4D97-9222-065EA789B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2" name="Picture 861">
          <a:extLst>
            <a:ext uri="{FF2B5EF4-FFF2-40B4-BE49-F238E27FC236}">
              <a16:creationId xmlns:a16="http://schemas.microsoft.com/office/drawing/2014/main" id="{D9454E3B-ED48-4452-8778-7A8FBDFA7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3" name="Picture 862">
          <a:extLst>
            <a:ext uri="{FF2B5EF4-FFF2-40B4-BE49-F238E27FC236}">
              <a16:creationId xmlns:a16="http://schemas.microsoft.com/office/drawing/2014/main" id="{4ED7F957-E4D2-4293-A1CE-D39D54D6F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4" name="Picture 863">
          <a:extLst>
            <a:ext uri="{FF2B5EF4-FFF2-40B4-BE49-F238E27FC236}">
              <a16:creationId xmlns:a16="http://schemas.microsoft.com/office/drawing/2014/main" id="{D9E2FC61-C9BE-4846-BC4D-053059ADF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5" name="Picture 864">
          <a:extLst>
            <a:ext uri="{FF2B5EF4-FFF2-40B4-BE49-F238E27FC236}">
              <a16:creationId xmlns:a16="http://schemas.microsoft.com/office/drawing/2014/main" id="{51817913-CE7E-41EC-B640-5E10D464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6" name="Picture 865">
          <a:extLst>
            <a:ext uri="{FF2B5EF4-FFF2-40B4-BE49-F238E27FC236}">
              <a16:creationId xmlns:a16="http://schemas.microsoft.com/office/drawing/2014/main" id="{E3C32591-D005-49CD-8B65-EC8CE3273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7" name="Picture 866">
          <a:extLst>
            <a:ext uri="{FF2B5EF4-FFF2-40B4-BE49-F238E27FC236}">
              <a16:creationId xmlns:a16="http://schemas.microsoft.com/office/drawing/2014/main" id="{2959BBF0-6A8C-4693-9C52-E38E9555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8" name="Picture 867">
          <a:extLst>
            <a:ext uri="{FF2B5EF4-FFF2-40B4-BE49-F238E27FC236}">
              <a16:creationId xmlns:a16="http://schemas.microsoft.com/office/drawing/2014/main" id="{526D0051-1393-403F-907E-B18CEDC94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69" name="Picture 868">
          <a:extLst>
            <a:ext uri="{FF2B5EF4-FFF2-40B4-BE49-F238E27FC236}">
              <a16:creationId xmlns:a16="http://schemas.microsoft.com/office/drawing/2014/main" id="{41383028-6456-4F5C-9C81-363F54178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0" name="Picture 869">
          <a:extLst>
            <a:ext uri="{FF2B5EF4-FFF2-40B4-BE49-F238E27FC236}">
              <a16:creationId xmlns:a16="http://schemas.microsoft.com/office/drawing/2014/main" id="{D48FB221-4FD0-4C03-9FA7-3BCC63D54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1" name="Picture 870">
          <a:extLst>
            <a:ext uri="{FF2B5EF4-FFF2-40B4-BE49-F238E27FC236}">
              <a16:creationId xmlns:a16="http://schemas.microsoft.com/office/drawing/2014/main" id="{1DBE82C9-9BBC-4651-92AF-8EDF90477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2" name="Picture 871">
          <a:extLst>
            <a:ext uri="{FF2B5EF4-FFF2-40B4-BE49-F238E27FC236}">
              <a16:creationId xmlns:a16="http://schemas.microsoft.com/office/drawing/2014/main" id="{D6430D72-1891-47B9-B0BE-E94C0A1A0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3" name="Picture 872">
          <a:extLst>
            <a:ext uri="{FF2B5EF4-FFF2-40B4-BE49-F238E27FC236}">
              <a16:creationId xmlns:a16="http://schemas.microsoft.com/office/drawing/2014/main" id="{E22C44ED-CC40-4D69-BC8D-ABCDFB984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4" name="Picture 873">
          <a:extLst>
            <a:ext uri="{FF2B5EF4-FFF2-40B4-BE49-F238E27FC236}">
              <a16:creationId xmlns:a16="http://schemas.microsoft.com/office/drawing/2014/main" id="{DD6BCBB3-2BC2-485F-A30D-236E22416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5" name="Picture 874">
          <a:extLst>
            <a:ext uri="{FF2B5EF4-FFF2-40B4-BE49-F238E27FC236}">
              <a16:creationId xmlns:a16="http://schemas.microsoft.com/office/drawing/2014/main" id="{4B7DAC6B-E7F6-4CA8-8AF7-F6AE41529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6" name="Picture 875">
          <a:extLst>
            <a:ext uri="{FF2B5EF4-FFF2-40B4-BE49-F238E27FC236}">
              <a16:creationId xmlns:a16="http://schemas.microsoft.com/office/drawing/2014/main" id="{419BF0E6-D350-44DE-8EC5-2DE6C33D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7" name="Picture 876">
          <a:extLst>
            <a:ext uri="{FF2B5EF4-FFF2-40B4-BE49-F238E27FC236}">
              <a16:creationId xmlns:a16="http://schemas.microsoft.com/office/drawing/2014/main" id="{213C96E8-92B0-40E6-B221-1E3F670F8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8" name="Picture 877">
          <a:extLst>
            <a:ext uri="{FF2B5EF4-FFF2-40B4-BE49-F238E27FC236}">
              <a16:creationId xmlns:a16="http://schemas.microsoft.com/office/drawing/2014/main" id="{FFB38EE3-991D-4DDC-AC17-D52686DFB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79" name="Picture 878">
          <a:extLst>
            <a:ext uri="{FF2B5EF4-FFF2-40B4-BE49-F238E27FC236}">
              <a16:creationId xmlns:a16="http://schemas.microsoft.com/office/drawing/2014/main" id="{F8478E7C-5875-411D-A1B1-5BDB14F2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0" name="Picture 879">
          <a:extLst>
            <a:ext uri="{FF2B5EF4-FFF2-40B4-BE49-F238E27FC236}">
              <a16:creationId xmlns:a16="http://schemas.microsoft.com/office/drawing/2014/main" id="{41B8941A-9462-44E8-AA35-56A9F7482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1" name="Picture 880">
          <a:extLst>
            <a:ext uri="{FF2B5EF4-FFF2-40B4-BE49-F238E27FC236}">
              <a16:creationId xmlns:a16="http://schemas.microsoft.com/office/drawing/2014/main" id="{FA4ED72B-A53E-4DD8-891E-536949620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2" name="Picture 881">
          <a:extLst>
            <a:ext uri="{FF2B5EF4-FFF2-40B4-BE49-F238E27FC236}">
              <a16:creationId xmlns:a16="http://schemas.microsoft.com/office/drawing/2014/main" id="{FF7E56D2-932E-49A1-B761-67B1BB274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3" name="Picture 882">
          <a:extLst>
            <a:ext uri="{FF2B5EF4-FFF2-40B4-BE49-F238E27FC236}">
              <a16:creationId xmlns:a16="http://schemas.microsoft.com/office/drawing/2014/main" id="{EE2BC4F0-2606-4C4E-A275-B0AC7C544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4" name="Picture 883">
          <a:extLst>
            <a:ext uri="{FF2B5EF4-FFF2-40B4-BE49-F238E27FC236}">
              <a16:creationId xmlns:a16="http://schemas.microsoft.com/office/drawing/2014/main" id="{ACBB1ACD-86AA-4D19-8CD3-0756B46BC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5" name="Picture 884">
          <a:extLst>
            <a:ext uri="{FF2B5EF4-FFF2-40B4-BE49-F238E27FC236}">
              <a16:creationId xmlns:a16="http://schemas.microsoft.com/office/drawing/2014/main" id="{F4B2FD56-DA6C-4EB7-9C48-A960EAFA1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6" name="Picture 885">
          <a:extLst>
            <a:ext uri="{FF2B5EF4-FFF2-40B4-BE49-F238E27FC236}">
              <a16:creationId xmlns:a16="http://schemas.microsoft.com/office/drawing/2014/main" id="{C4DD1024-7378-4CB7-81FB-8C77F573C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7" name="Picture 886">
          <a:extLst>
            <a:ext uri="{FF2B5EF4-FFF2-40B4-BE49-F238E27FC236}">
              <a16:creationId xmlns:a16="http://schemas.microsoft.com/office/drawing/2014/main" id="{955DB9F7-DCF1-4F55-991B-88A6F3EB7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8" name="Picture 887">
          <a:extLst>
            <a:ext uri="{FF2B5EF4-FFF2-40B4-BE49-F238E27FC236}">
              <a16:creationId xmlns:a16="http://schemas.microsoft.com/office/drawing/2014/main" id="{EE081DD0-30F2-4CD4-85C1-2749C2D3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89" name="Picture 888">
          <a:extLst>
            <a:ext uri="{FF2B5EF4-FFF2-40B4-BE49-F238E27FC236}">
              <a16:creationId xmlns:a16="http://schemas.microsoft.com/office/drawing/2014/main" id="{7EC48E65-08A0-4E9E-BF14-3B5E269C5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0" name="Picture 889">
          <a:extLst>
            <a:ext uri="{FF2B5EF4-FFF2-40B4-BE49-F238E27FC236}">
              <a16:creationId xmlns:a16="http://schemas.microsoft.com/office/drawing/2014/main" id="{BEF81DEB-FB21-47CB-870E-F00777464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1" name="Picture 890">
          <a:extLst>
            <a:ext uri="{FF2B5EF4-FFF2-40B4-BE49-F238E27FC236}">
              <a16:creationId xmlns:a16="http://schemas.microsoft.com/office/drawing/2014/main" id="{EECA28BD-8A69-4346-AD60-9F9B5B2C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2" name="Picture 891">
          <a:extLst>
            <a:ext uri="{FF2B5EF4-FFF2-40B4-BE49-F238E27FC236}">
              <a16:creationId xmlns:a16="http://schemas.microsoft.com/office/drawing/2014/main" id="{D5304E14-07E5-422D-B4D2-2D6DDB941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3" name="Picture 892">
          <a:extLst>
            <a:ext uri="{FF2B5EF4-FFF2-40B4-BE49-F238E27FC236}">
              <a16:creationId xmlns:a16="http://schemas.microsoft.com/office/drawing/2014/main" id="{EEFC5F82-1594-4BFC-868F-4281DFB95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4" name="Picture 893">
          <a:extLst>
            <a:ext uri="{FF2B5EF4-FFF2-40B4-BE49-F238E27FC236}">
              <a16:creationId xmlns:a16="http://schemas.microsoft.com/office/drawing/2014/main" id="{7D209A3F-6F36-4EFE-80BC-819402110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5" name="Picture 894">
          <a:extLst>
            <a:ext uri="{FF2B5EF4-FFF2-40B4-BE49-F238E27FC236}">
              <a16:creationId xmlns:a16="http://schemas.microsoft.com/office/drawing/2014/main" id="{19C022EA-CA18-46A9-8909-795B20598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6" name="Picture 895">
          <a:extLst>
            <a:ext uri="{FF2B5EF4-FFF2-40B4-BE49-F238E27FC236}">
              <a16:creationId xmlns:a16="http://schemas.microsoft.com/office/drawing/2014/main" id="{981DE927-E85E-4AA2-8498-C546912DF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7" name="Picture 896">
          <a:extLst>
            <a:ext uri="{FF2B5EF4-FFF2-40B4-BE49-F238E27FC236}">
              <a16:creationId xmlns:a16="http://schemas.microsoft.com/office/drawing/2014/main" id="{DAD3CE88-AF04-4876-8F5A-553E1FFAD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8" name="Picture 897">
          <a:extLst>
            <a:ext uri="{FF2B5EF4-FFF2-40B4-BE49-F238E27FC236}">
              <a16:creationId xmlns:a16="http://schemas.microsoft.com/office/drawing/2014/main" id="{4AD5C08E-8343-4404-A3FD-82A164797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899" name="Picture 898">
          <a:extLst>
            <a:ext uri="{FF2B5EF4-FFF2-40B4-BE49-F238E27FC236}">
              <a16:creationId xmlns:a16="http://schemas.microsoft.com/office/drawing/2014/main" id="{C3676F93-5988-4365-90C0-2A83C4A66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0" name="Picture 899">
          <a:extLst>
            <a:ext uri="{FF2B5EF4-FFF2-40B4-BE49-F238E27FC236}">
              <a16:creationId xmlns:a16="http://schemas.microsoft.com/office/drawing/2014/main" id="{60702315-ACA8-4782-8731-1ECAB0A30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1" name="Picture 900">
          <a:extLst>
            <a:ext uri="{FF2B5EF4-FFF2-40B4-BE49-F238E27FC236}">
              <a16:creationId xmlns:a16="http://schemas.microsoft.com/office/drawing/2014/main" id="{9CEC14C1-FFCC-4128-876D-BB02D6F9E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2" name="Picture 901">
          <a:extLst>
            <a:ext uri="{FF2B5EF4-FFF2-40B4-BE49-F238E27FC236}">
              <a16:creationId xmlns:a16="http://schemas.microsoft.com/office/drawing/2014/main" id="{54893C06-055E-4DBD-B297-8AF955195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3" name="Picture 902">
          <a:extLst>
            <a:ext uri="{FF2B5EF4-FFF2-40B4-BE49-F238E27FC236}">
              <a16:creationId xmlns:a16="http://schemas.microsoft.com/office/drawing/2014/main" id="{C9D2139B-5818-4397-BC88-559EA29F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4" name="Picture 903">
          <a:extLst>
            <a:ext uri="{FF2B5EF4-FFF2-40B4-BE49-F238E27FC236}">
              <a16:creationId xmlns:a16="http://schemas.microsoft.com/office/drawing/2014/main" id="{DB74A273-BF16-4962-9317-4440EF97D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5" name="Picture 904">
          <a:extLst>
            <a:ext uri="{FF2B5EF4-FFF2-40B4-BE49-F238E27FC236}">
              <a16:creationId xmlns:a16="http://schemas.microsoft.com/office/drawing/2014/main" id="{7105315B-94A3-4D7B-807C-C285E93A2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6" name="Picture 905">
          <a:extLst>
            <a:ext uri="{FF2B5EF4-FFF2-40B4-BE49-F238E27FC236}">
              <a16:creationId xmlns:a16="http://schemas.microsoft.com/office/drawing/2014/main" id="{CA4D7E63-78A0-40BE-BBD8-B05F425B6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7" name="Picture 906">
          <a:extLst>
            <a:ext uri="{FF2B5EF4-FFF2-40B4-BE49-F238E27FC236}">
              <a16:creationId xmlns:a16="http://schemas.microsoft.com/office/drawing/2014/main" id="{A191E9D5-C9CC-462E-BFDE-DC45C64B3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8" name="Picture 907">
          <a:extLst>
            <a:ext uri="{FF2B5EF4-FFF2-40B4-BE49-F238E27FC236}">
              <a16:creationId xmlns:a16="http://schemas.microsoft.com/office/drawing/2014/main" id="{103C20D0-F708-468F-B547-FA4F58469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09" name="Picture 908">
          <a:extLst>
            <a:ext uri="{FF2B5EF4-FFF2-40B4-BE49-F238E27FC236}">
              <a16:creationId xmlns:a16="http://schemas.microsoft.com/office/drawing/2014/main" id="{7D43A0F7-25E6-4737-A871-6F456A671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0" name="Picture 909">
          <a:extLst>
            <a:ext uri="{FF2B5EF4-FFF2-40B4-BE49-F238E27FC236}">
              <a16:creationId xmlns:a16="http://schemas.microsoft.com/office/drawing/2014/main" id="{76BFC423-E822-4C98-B708-A7E3F18E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1" name="Picture 910">
          <a:extLst>
            <a:ext uri="{FF2B5EF4-FFF2-40B4-BE49-F238E27FC236}">
              <a16:creationId xmlns:a16="http://schemas.microsoft.com/office/drawing/2014/main" id="{706D31FC-808F-4F88-A4C7-B1C849971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2" name="Picture 911">
          <a:extLst>
            <a:ext uri="{FF2B5EF4-FFF2-40B4-BE49-F238E27FC236}">
              <a16:creationId xmlns:a16="http://schemas.microsoft.com/office/drawing/2014/main" id="{F9B43F26-EC4A-4328-A463-496459A6A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3" name="Picture 912">
          <a:extLst>
            <a:ext uri="{FF2B5EF4-FFF2-40B4-BE49-F238E27FC236}">
              <a16:creationId xmlns:a16="http://schemas.microsoft.com/office/drawing/2014/main" id="{82A3A3EE-AD86-4636-BF7F-2D416A2F8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4" name="Picture 913">
          <a:extLst>
            <a:ext uri="{FF2B5EF4-FFF2-40B4-BE49-F238E27FC236}">
              <a16:creationId xmlns:a16="http://schemas.microsoft.com/office/drawing/2014/main" id="{3C92BE15-DC38-402C-88F0-65AB83A8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5" name="Picture 914">
          <a:extLst>
            <a:ext uri="{FF2B5EF4-FFF2-40B4-BE49-F238E27FC236}">
              <a16:creationId xmlns:a16="http://schemas.microsoft.com/office/drawing/2014/main" id="{C134AF35-F5FB-45FB-A72C-4EC650B9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6" name="Picture 915">
          <a:extLst>
            <a:ext uri="{FF2B5EF4-FFF2-40B4-BE49-F238E27FC236}">
              <a16:creationId xmlns:a16="http://schemas.microsoft.com/office/drawing/2014/main" id="{B8B919BD-0246-4AE9-A49F-5F446B8CA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7" name="Picture 916">
          <a:extLst>
            <a:ext uri="{FF2B5EF4-FFF2-40B4-BE49-F238E27FC236}">
              <a16:creationId xmlns:a16="http://schemas.microsoft.com/office/drawing/2014/main" id="{F9DBB7AE-B760-4138-80DD-F69A539D3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8" name="Picture 917">
          <a:extLst>
            <a:ext uri="{FF2B5EF4-FFF2-40B4-BE49-F238E27FC236}">
              <a16:creationId xmlns:a16="http://schemas.microsoft.com/office/drawing/2014/main" id="{ADB627FB-35F1-41B7-9350-6C4D59DDF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19" name="Picture 918">
          <a:extLst>
            <a:ext uri="{FF2B5EF4-FFF2-40B4-BE49-F238E27FC236}">
              <a16:creationId xmlns:a16="http://schemas.microsoft.com/office/drawing/2014/main" id="{D34DF26E-0B70-450F-8991-7E9EB2755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0" name="Picture 919">
          <a:extLst>
            <a:ext uri="{FF2B5EF4-FFF2-40B4-BE49-F238E27FC236}">
              <a16:creationId xmlns:a16="http://schemas.microsoft.com/office/drawing/2014/main" id="{20CD457A-3CE3-4731-AD23-4F7A79A0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1" name="Picture 920">
          <a:extLst>
            <a:ext uri="{FF2B5EF4-FFF2-40B4-BE49-F238E27FC236}">
              <a16:creationId xmlns:a16="http://schemas.microsoft.com/office/drawing/2014/main" id="{AB30BC00-CEAD-41F9-A5E4-02222F7AD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2" name="Picture 921">
          <a:extLst>
            <a:ext uri="{FF2B5EF4-FFF2-40B4-BE49-F238E27FC236}">
              <a16:creationId xmlns:a16="http://schemas.microsoft.com/office/drawing/2014/main" id="{7A24371A-D314-48A3-B664-3E88F9669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3" name="Picture 922">
          <a:extLst>
            <a:ext uri="{FF2B5EF4-FFF2-40B4-BE49-F238E27FC236}">
              <a16:creationId xmlns:a16="http://schemas.microsoft.com/office/drawing/2014/main" id="{77AACD36-DAAC-4306-A440-A3208D9FC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4" name="Picture 923">
          <a:extLst>
            <a:ext uri="{FF2B5EF4-FFF2-40B4-BE49-F238E27FC236}">
              <a16:creationId xmlns:a16="http://schemas.microsoft.com/office/drawing/2014/main" id="{3E8DA83B-A42A-4DB3-89C6-8F148E457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5" name="Picture 924">
          <a:extLst>
            <a:ext uri="{FF2B5EF4-FFF2-40B4-BE49-F238E27FC236}">
              <a16:creationId xmlns:a16="http://schemas.microsoft.com/office/drawing/2014/main" id="{2EFC5674-1214-401F-9854-000AEC5D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6" name="Picture 925">
          <a:extLst>
            <a:ext uri="{FF2B5EF4-FFF2-40B4-BE49-F238E27FC236}">
              <a16:creationId xmlns:a16="http://schemas.microsoft.com/office/drawing/2014/main" id="{55332949-2C47-4925-9E21-599E84A5D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7" name="Picture 926">
          <a:extLst>
            <a:ext uri="{FF2B5EF4-FFF2-40B4-BE49-F238E27FC236}">
              <a16:creationId xmlns:a16="http://schemas.microsoft.com/office/drawing/2014/main" id="{DC2230CD-DED8-41BC-96BF-1A0D9A8DA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8" name="Picture 927">
          <a:extLst>
            <a:ext uri="{FF2B5EF4-FFF2-40B4-BE49-F238E27FC236}">
              <a16:creationId xmlns:a16="http://schemas.microsoft.com/office/drawing/2014/main" id="{0FE578DE-84B8-43E1-9BD0-909F6DA9C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29" name="Picture 928">
          <a:extLst>
            <a:ext uri="{FF2B5EF4-FFF2-40B4-BE49-F238E27FC236}">
              <a16:creationId xmlns:a16="http://schemas.microsoft.com/office/drawing/2014/main" id="{49DF994B-733B-42EA-8C8A-20A08858E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0" name="Picture 929">
          <a:extLst>
            <a:ext uri="{FF2B5EF4-FFF2-40B4-BE49-F238E27FC236}">
              <a16:creationId xmlns:a16="http://schemas.microsoft.com/office/drawing/2014/main" id="{8D21A9E9-7693-4B54-972C-6CE53C4A6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1" name="Picture 930">
          <a:extLst>
            <a:ext uri="{FF2B5EF4-FFF2-40B4-BE49-F238E27FC236}">
              <a16:creationId xmlns:a16="http://schemas.microsoft.com/office/drawing/2014/main" id="{6FA7649B-5B38-468E-A808-B7FD476D2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2" name="Picture 931">
          <a:extLst>
            <a:ext uri="{FF2B5EF4-FFF2-40B4-BE49-F238E27FC236}">
              <a16:creationId xmlns:a16="http://schemas.microsoft.com/office/drawing/2014/main" id="{D765A6A7-7FAD-488B-8B11-216BC5A69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3" name="Picture 932">
          <a:extLst>
            <a:ext uri="{FF2B5EF4-FFF2-40B4-BE49-F238E27FC236}">
              <a16:creationId xmlns:a16="http://schemas.microsoft.com/office/drawing/2014/main" id="{68B2298F-57BC-4982-8D81-69E7D12F3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4" name="Picture 933">
          <a:extLst>
            <a:ext uri="{FF2B5EF4-FFF2-40B4-BE49-F238E27FC236}">
              <a16:creationId xmlns:a16="http://schemas.microsoft.com/office/drawing/2014/main" id="{FD66C651-EE4F-49D5-BAEB-F72E6B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5" name="Picture 934">
          <a:extLst>
            <a:ext uri="{FF2B5EF4-FFF2-40B4-BE49-F238E27FC236}">
              <a16:creationId xmlns:a16="http://schemas.microsoft.com/office/drawing/2014/main" id="{5919D9C4-736F-44A0-B96F-81D43AA7F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6" name="Picture 935">
          <a:extLst>
            <a:ext uri="{FF2B5EF4-FFF2-40B4-BE49-F238E27FC236}">
              <a16:creationId xmlns:a16="http://schemas.microsoft.com/office/drawing/2014/main" id="{854BD647-2019-4854-AF4C-596964354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7" name="Picture 936">
          <a:extLst>
            <a:ext uri="{FF2B5EF4-FFF2-40B4-BE49-F238E27FC236}">
              <a16:creationId xmlns:a16="http://schemas.microsoft.com/office/drawing/2014/main" id="{50540B8D-A23C-4A75-877C-6CFE0AD43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8" name="Picture 937">
          <a:extLst>
            <a:ext uri="{FF2B5EF4-FFF2-40B4-BE49-F238E27FC236}">
              <a16:creationId xmlns:a16="http://schemas.microsoft.com/office/drawing/2014/main" id="{8AE779B7-B62A-475D-90F0-CE4EF6835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39" name="Picture 938">
          <a:extLst>
            <a:ext uri="{FF2B5EF4-FFF2-40B4-BE49-F238E27FC236}">
              <a16:creationId xmlns:a16="http://schemas.microsoft.com/office/drawing/2014/main" id="{2960BBBB-8CE8-4A12-ABB1-3F08D1014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0" name="Picture 939">
          <a:extLst>
            <a:ext uri="{FF2B5EF4-FFF2-40B4-BE49-F238E27FC236}">
              <a16:creationId xmlns:a16="http://schemas.microsoft.com/office/drawing/2014/main" id="{FDB18EE2-7840-47C1-BD34-E8E62656B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1" name="Picture 940">
          <a:extLst>
            <a:ext uri="{FF2B5EF4-FFF2-40B4-BE49-F238E27FC236}">
              <a16:creationId xmlns:a16="http://schemas.microsoft.com/office/drawing/2014/main" id="{9877EF66-7676-47E2-BB2F-DF95C54D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2" name="Picture 941">
          <a:extLst>
            <a:ext uri="{FF2B5EF4-FFF2-40B4-BE49-F238E27FC236}">
              <a16:creationId xmlns:a16="http://schemas.microsoft.com/office/drawing/2014/main" id="{E7ED1438-F235-4070-95D4-B11139F8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3" name="Picture 942">
          <a:extLst>
            <a:ext uri="{FF2B5EF4-FFF2-40B4-BE49-F238E27FC236}">
              <a16:creationId xmlns:a16="http://schemas.microsoft.com/office/drawing/2014/main" id="{A2990D5A-91E1-4F7D-8183-9DF78CBBF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4" name="Picture 943">
          <a:extLst>
            <a:ext uri="{FF2B5EF4-FFF2-40B4-BE49-F238E27FC236}">
              <a16:creationId xmlns:a16="http://schemas.microsoft.com/office/drawing/2014/main" id="{02DA216E-94DC-4F23-B758-D1C72466A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5" name="Picture 944">
          <a:extLst>
            <a:ext uri="{FF2B5EF4-FFF2-40B4-BE49-F238E27FC236}">
              <a16:creationId xmlns:a16="http://schemas.microsoft.com/office/drawing/2014/main" id="{09869A69-ABA4-467A-B5B5-FEA575214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6" name="Picture 945">
          <a:extLst>
            <a:ext uri="{FF2B5EF4-FFF2-40B4-BE49-F238E27FC236}">
              <a16:creationId xmlns:a16="http://schemas.microsoft.com/office/drawing/2014/main" id="{9C2522B9-C728-49A4-9BF2-C5FE22DFC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7" name="Picture 946">
          <a:extLst>
            <a:ext uri="{FF2B5EF4-FFF2-40B4-BE49-F238E27FC236}">
              <a16:creationId xmlns:a16="http://schemas.microsoft.com/office/drawing/2014/main" id="{46551177-E75B-41EF-A334-CA4EA4542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8" name="Picture 947">
          <a:extLst>
            <a:ext uri="{FF2B5EF4-FFF2-40B4-BE49-F238E27FC236}">
              <a16:creationId xmlns:a16="http://schemas.microsoft.com/office/drawing/2014/main" id="{E881CDF9-65E5-4C3A-B1B0-25BD8EE15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49" name="Picture 948">
          <a:extLst>
            <a:ext uri="{FF2B5EF4-FFF2-40B4-BE49-F238E27FC236}">
              <a16:creationId xmlns:a16="http://schemas.microsoft.com/office/drawing/2014/main" id="{55FCC170-9805-4624-8821-3E136FFFA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0" name="Picture 949">
          <a:extLst>
            <a:ext uri="{FF2B5EF4-FFF2-40B4-BE49-F238E27FC236}">
              <a16:creationId xmlns:a16="http://schemas.microsoft.com/office/drawing/2014/main" id="{859AAA21-4963-4FE1-B529-4A2AFEB08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1" name="Picture 950">
          <a:extLst>
            <a:ext uri="{FF2B5EF4-FFF2-40B4-BE49-F238E27FC236}">
              <a16:creationId xmlns:a16="http://schemas.microsoft.com/office/drawing/2014/main" id="{C3EF6982-97D2-4B9D-A816-9E7DEC1B3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2" name="Picture 951">
          <a:extLst>
            <a:ext uri="{FF2B5EF4-FFF2-40B4-BE49-F238E27FC236}">
              <a16:creationId xmlns:a16="http://schemas.microsoft.com/office/drawing/2014/main" id="{57E20675-385F-4DE3-88BA-598FDA3AC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3" name="Picture 952">
          <a:extLst>
            <a:ext uri="{FF2B5EF4-FFF2-40B4-BE49-F238E27FC236}">
              <a16:creationId xmlns:a16="http://schemas.microsoft.com/office/drawing/2014/main" id="{AD9C2928-FA91-468E-85F0-20F7867EA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4" name="Picture 953">
          <a:extLst>
            <a:ext uri="{FF2B5EF4-FFF2-40B4-BE49-F238E27FC236}">
              <a16:creationId xmlns:a16="http://schemas.microsoft.com/office/drawing/2014/main" id="{BA310030-B983-4D20-B3AA-CCA4E22C3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5" name="Picture 954">
          <a:extLst>
            <a:ext uri="{FF2B5EF4-FFF2-40B4-BE49-F238E27FC236}">
              <a16:creationId xmlns:a16="http://schemas.microsoft.com/office/drawing/2014/main" id="{2BC5AB12-76D4-4E86-935E-1EAF82E7E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6" name="Picture 955">
          <a:extLst>
            <a:ext uri="{FF2B5EF4-FFF2-40B4-BE49-F238E27FC236}">
              <a16:creationId xmlns:a16="http://schemas.microsoft.com/office/drawing/2014/main" id="{C1642BB1-C82E-44F0-B120-31CBF1015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7" name="Picture 956">
          <a:extLst>
            <a:ext uri="{FF2B5EF4-FFF2-40B4-BE49-F238E27FC236}">
              <a16:creationId xmlns:a16="http://schemas.microsoft.com/office/drawing/2014/main" id="{1CA9D3BD-CBC7-47AB-A761-6F554850D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8" name="Picture 957">
          <a:extLst>
            <a:ext uri="{FF2B5EF4-FFF2-40B4-BE49-F238E27FC236}">
              <a16:creationId xmlns:a16="http://schemas.microsoft.com/office/drawing/2014/main" id="{57D04B9E-812A-49B2-9EF6-05B83ED7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59" name="Picture 958">
          <a:extLst>
            <a:ext uri="{FF2B5EF4-FFF2-40B4-BE49-F238E27FC236}">
              <a16:creationId xmlns:a16="http://schemas.microsoft.com/office/drawing/2014/main" id="{46DF60DD-5CE1-459F-8BF2-8709DCB9B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0" name="Picture 959">
          <a:extLst>
            <a:ext uri="{FF2B5EF4-FFF2-40B4-BE49-F238E27FC236}">
              <a16:creationId xmlns:a16="http://schemas.microsoft.com/office/drawing/2014/main" id="{E8256872-898A-429D-BFB4-07FBF61B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1" name="Picture 960">
          <a:extLst>
            <a:ext uri="{FF2B5EF4-FFF2-40B4-BE49-F238E27FC236}">
              <a16:creationId xmlns:a16="http://schemas.microsoft.com/office/drawing/2014/main" id="{A9388D8D-7709-443C-86F0-33C9DE7F1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2" name="Picture 961">
          <a:extLst>
            <a:ext uri="{FF2B5EF4-FFF2-40B4-BE49-F238E27FC236}">
              <a16:creationId xmlns:a16="http://schemas.microsoft.com/office/drawing/2014/main" id="{66878BCD-AD6F-4B78-8F04-C4E2430A3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3" name="Picture 962">
          <a:extLst>
            <a:ext uri="{FF2B5EF4-FFF2-40B4-BE49-F238E27FC236}">
              <a16:creationId xmlns:a16="http://schemas.microsoft.com/office/drawing/2014/main" id="{8769A4E5-EA20-4D5D-9275-78F1EF9FA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4" name="Picture 963">
          <a:extLst>
            <a:ext uri="{FF2B5EF4-FFF2-40B4-BE49-F238E27FC236}">
              <a16:creationId xmlns:a16="http://schemas.microsoft.com/office/drawing/2014/main" id="{DCAA448B-6879-4372-9651-C82AA1374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5" name="Picture 964">
          <a:extLst>
            <a:ext uri="{FF2B5EF4-FFF2-40B4-BE49-F238E27FC236}">
              <a16:creationId xmlns:a16="http://schemas.microsoft.com/office/drawing/2014/main" id="{90919BA9-C6AE-43DF-B960-07FC0B7AD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6" name="Picture 965">
          <a:extLst>
            <a:ext uri="{FF2B5EF4-FFF2-40B4-BE49-F238E27FC236}">
              <a16:creationId xmlns:a16="http://schemas.microsoft.com/office/drawing/2014/main" id="{FFAD75C9-89C3-4358-927A-ADE13D62C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7" name="Picture 966">
          <a:extLst>
            <a:ext uri="{FF2B5EF4-FFF2-40B4-BE49-F238E27FC236}">
              <a16:creationId xmlns:a16="http://schemas.microsoft.com/office/drawing/2014/main" id="{0B6DB447-9D65-4656-A589-2B42FBB24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8" name="Picture 967">
          <a:extLst>
            <a:ext uri="{FF2B5EF4-FFF2-40B4-BE49-F238E27FC236}">
              <a16:creationId xmlns:a16="http://schemas.microsoft.com/office/drawing/2014/main" id="{D4ED711C-C395-4821-BCE8-8DD35BFEC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69" name="Picture 968">
          <a:extLst>
            <a:ext uri="{FF2B5EF4-FFF2-40B4-BE49-F238E27FC236}">
              <a16:creationId xmlns:a16="http://schemas.microsoft.com/office/drawing/2014/main" id="{D0ED6E10-92D7-442E-85D1-6AFF5C2F4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0" name="Picture 969">
          <a:extLst>
            <a:ext uri="{FF2B5EF4-FFF2-40B4-BE49-F238E27FC236}">
              <a16:creationId xmlns:a16="http://schemas.microsoft.com/office/drawing/2014/main" id="{8C98359E-E86F-423F-8CF4-76F1454AE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1" name="Picture 970">
          <a:extLst>
            <a:ext uri="{FF2B5EF4-FFF2-40B4-BE49-F238E27FC236}">
              <a16:creationId xmlns:a16="http://schemas.microsoft.com/office/drawing/2014/main" id="{55CF981F-159E-4B34-8485-F1E720B0C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2" name="Picture 971">
          <a:extLst>
            <a:ext uri="{FF2B5EF4-FFF2-40B4-BE49-F238E27FC236}">
              <a16:creationId xmlns:a16="http://schemas.microsoft.com/office/drawing/2014/main" id="{1B9997C7-903E-4721-92AF-8C04C84E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3" name="Picture 972">
          <a:extLst>
            <a:ext uri="{FF2B5EF4-FFF2-40B4-BE49-F238E27FC236}">
              <a16:creationId xmlns:a16="http://schemas.microsoft.com/office/drawing/2014/main" id="{B7770418-559B-472A-90C0-65DE4787C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4" name="Picture 973">
          <a:extLst>
            <a:ext uri="{FF2B5EF4-FFF2-40B4-BE49-F238E27FC236}">
              <a16:creationId xmlns:a16="http://schemas.microsoft.com/office/drawing/2014/main" id="{D4086576-DB33-4DE9-91B2-B757FC236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5" name="Picture 974">
          <a:extLst>
            <a:ext uri="{FF2B5EF4-FFF2-40B4-BE49-F238E27FC236}">
              <a16:creationId xmlns:a16="http://schemas.microsoft.com/office/drawing/2014/main" id="{7C1CB5EA-8C66-4BA3-8339-3BDC3FA22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6" name="Picture 975">
          <a:extLst>
            <a:ext uri="{FF2B5EF4-FFF2-40B4-BE49-F238E27FC236}">
              <a16:creationId xmlns:a16="http://schemas.microsoft.com/office/drawing/2014/main" id="{4EAFB85C-C0C4-41E6-888E-97EBD6B3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7" name="Picture 976">
          <a:extLst>
            <a:ext uri="{FF2B5EF4-FFF2-40B4-BE49-F238E27FC236}">
              <a16:creationId xmlns:a16="http://schemas.microsoft.com/office/drawing/2014/main" id="{9E616818-1AC7-40FD-A7BA-7EA2C2071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8" name="Picture 977">
          <a:extLst>
            <a:ext uri="{FF2B5EF4-FFF2-40B4-BE49-F238E27FC236}">
              <a16:creationId xmlns:a16="http://schemas.microsoft.com/office/drawing/2014/main" id="{5F366272-0133-4926-941B-087436892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79" name="Picture 978">
          <a:extLst>
            <a:ext uri="{FF2B5EF4-FFF2-40B4-BE49-F238E27FC236}">
              <a16:creationId xmlns:a16="http://schemas.microsoft.com/office/drawing/2014/main" id="{25699881-58EB-44A5-AA37-765A8BAE9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0" name="Picture 979">
          <a:extLst>
            <a:ext uri="{FF2B5EF4-FFF2-40B4-BE49-F238E27FC236}">
              <a16:creationId xmlns:a16="http://schemas.microsoft.com/office/drawing/2014/main" id="{7EE0571C-573F-420D-A605-9414EAB43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1" name="Picture 980">
          <a:extLst>
            <a:ext uri="{FF2B5EF4-FFF2-40B4-BE49-F238E27FC236}">
              <a16:creationId xmlns:a16="http://schemas.microsoft.com/office/drawing/2014/main" id="{1D616287-1FE4-4971-B718-2E7CD303E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2" name="Picture 981">
          <a:extLst>
            <a:ext uri="{FF2B5EF4-FFF2-40B4-BE49-F238E27FC236}">
              <a16:creationId xmlns:a16="http://schemas.microsoft.com/office/drawing/2014/main" id="{AD097821-2556-4E4D-A1C9-EDF457684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3" name="Picture 982">
          <a:extLst>
            <a:ext uri="{FF2B5EF4-FFF2-40B4-BE49-F238E27FC236}">
              <a16:creationId xmlns:a16="http://schemas.microsoft.com/office/drawing/2014/main" id="{DFA0064E-5C89-4B28-B32D-35CA8D42B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4" name="Picture 983">
          <a:extLst>
            <a:ext uri="{FF2B5EF4-FFF2-40B4-BE49-F238E27FC236}">
              <a16:creationId xmlns:a16="http://schemas.microsoft.com/office/drawing/2014/main" id="{6B635B26-E521-4C98-82FA-D25A23956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5" name="Picture 984">
          <a:extLst>
            <a:ext uri="{FF2B5EF4-FFF2-40B4-BE49-F238E27FC236}">
              <a16:creationId xmlns:a16="http://schemas.microsoft.com/office/drawing/2014/main" id="{E3B7B28C-D578-4D5A-833D-9F3328F0F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6" name="Picture 985">
          <a:extLst>
            <a:ext uri="{FF2B5EF4-FFF2-40B4-BE49-F238E27FC236}">
              <a16:creationId xmlns:a16="http://schemas.microsoft.com/office/drawing/2014/main" id="{E03C86A2-04D6-4B9B-9B63-DD29EC580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7" name="Picture 986">
          <a:extLst>
            <a:ext uri="{FF2B5EF4-FFF2-40B4-BE49-F238E27FC236}">
              <a16:creationId xmlns:a16="http://schemas.microsoft.com/office/drawing/2014/main" id="{E38DDB91-24BA-4AB1-9AE4-6BDE5E52C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8" name="Picture 987">
          <a:extLst>
            <a:ext uri="{FF2B5EF4-FFF2-40B4-BE49-F238E27FC236}">
              <a16:creationId xmlns:a16="http://schemas.microsoft.com/office/drawing/2014/main" id="{390A339F-F45A-4AB3-8F17-4DDA399EC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89" name="Picture 988">
          <a:extLst>
            <a:ext uri="{FF2B5EF4-FFF2-40B4-BE49-F238E27FC236}">
              <a16:creationId xmlns:a16="http://schemas.microsoft.com/office/drawing/2014/main" id="{301A4440-141E-4712-8677-BF3A27FE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0" name="Picture 989">
          <a:extLst>
            <a:ext uri="{FF2B5EF4-FFF2-40B4-BE49-F238E27FC236}">
              <a16:creationId xmlns:a16="http://schemas.microsoft.com/office/drawing/2014/main" id="{D080C192-FBE5-4CC4-803E-A4F5F86D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1" name="Picture 990">
          <a:extLst>
            <a:ext uri="{FF2B5EF4-FFF2-40B4-BE49-F238E27FC236}">
              <a16:creationId xmlns:a16="http://schemas.microsoft.com/office/drawing/2014/main" id="{B86F2B40-6EEA-411A-A22C-28612234C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2" name="Picture 991">
          <a:extLst>
            <a:ext uri="{FF2B5EF4-FFF2-40B4-BE49-F238E27FC236}">
              <a16:creationId xmlns:a16="http://schemas.microsoft.com/office/drawing/2014/main" id="{AC3D264E-1A81-4C01-B367-9A8877319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3" name="Picture 992">
          <a:extLst>
            <a:ext uri="{FF2B5EF4-FFF2-40B4-BE49-F238E27FC236}">
              <a16:creationId xmlns:a16="http://schemas.microsoft.com/office/drawing/2014/main" id="{13CEDA80-55EE-4068-AF9D-3AF639932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4" name="Picture 993">
          <a:extLst>
            <a:ext uri="{FF2B5EF4-FFF2-40B4-BE49-F238E27FC236}">
              <a16:creationId xmlns:a16="http://schemas.microsoft.com/office/drawing/2014/main" id="{4574F303-8103-41AF-9CFA-BE3CA74D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5" name="Picture 994">
          <a:extLst>
            <a:ext uri="{FF2B5EF4-FFF2-40B4-BE49-F238E27FC236}">
              <a16:creationId xmlns:a16="http://schemas.microsoft.com/office/drawing/2014/main" id="{D86D2D32-8486-48DB-86D1-C55AC3CF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6" name="Picture 995">
          <a:extLst>
            <a:ext uri="{FF2B5EF4-FFF2-40B4-BE49-F238E27FC236}">
              <a16:creationId xmlns:a16="http://schemas.microsoft.com/office/drawing/2014/main" id="{EF41E0DC-2F82-45C7-9049-60AD0996D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7" name="Picture 996">
          <a:extLst>
            <a:ext uri="{FF2B5EF4-FFF2-40B4-BE49-F238E27FC236}">
              <a16:creationId xmlns:a16="http://schemas.microsoft.com/office/drawing/2014/main" id="{88AB59AE-E852-4856-8DA3-98566FFE7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8" name="Picture 997">
          <a:extLst>
            <a:ext uri="{FF2B5EF4-FFF2-40B4-BE49-F238E27FC236}">
              <a16:creationId xmlns:a16="http://schemas.microsoft.com/office/drawing/2014/main" id="{F210B276-8C08-4A79-81AD-F023F5DDC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999" name="Picture 998">
          <a:extLst>
            <a:ext uri="{FF2B5EF4-FFF2-40B4-BE49-F238E27FC236}">
              <a16:creationId xmlns:a16="http://schemas.microsoft.com/office/drawing/2014/main" id="{963428F6-CB9B-49AA-83A2-8766FE028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0" name="Picture 999">
          <a:extLst>
            <a:ext uri="{FF2B5EF4-FFF2-40B4-BE49-F238E27FC236}">
              <a16:creationId xmlns:a16="http://schemas.microsoft.com/office/drawing/2014/main" id="{3548A0A0-C1AC-4B47-AD2E-CE1ED1D9E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1" name="Picture 1000">
          <a:extLst>
            <a:ext uri="{FF2B5EF4-FFF2-40B4-BE49-F238E27FC236}">
              <a16:creationId xmlns:a16="http://schemas.microsoft.com/office/drawing/2014/main" id="{82FCBC84-0E46-4FB9-9B0A-484EAD166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2" name="Picture 1001">
          <a:extLst>
            <a:ext uri="{FF2B5EF4-FFF2-40B4-BE49-F238E27FC236}">
              <a16:creationId xmlns:a16="http://schemas.microsoft.com/office/drawing/2014/main" id="{D7885F67-2992-42DB-84B9-F3BF988D7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3" name="Picture 1002">
          <a:extLst>
            <a:ext uri="{FF2B5EF4-FFF2-40B4-BE49-F238E27FC236}">
              <a16:creationId xmlns:a16="http://schemas.microsoft.com/office/drawing/2014/main" id="{1DE684D5-0E0F-4E88-8545-6ECB84AC3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4" name="Picture 1003">
          <a:extLst>
            <a:ext uri="{FF2B5EF4-FFF2-40B4-BE49-F238E27FC236}">
              <a16:creationId xmlns:a16="http://schemas.microsoft.com/office/drawing/2014/main" id="{45C49639-D290-420C-B2AE-68FF99040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5" name="Picture 1004">
          <a:extLst>
            <a:ext uri="{FF2B5EF4-FFF2-40B4-BE49-F238E27FC236}">
              <a16:creationId xmlns:a16="http://schemas.microsoft.com/office/drawing/2014/main" id="{0911FA62-3E80-4CA8-9401-7F6105B7B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6" name="Picture 1005">
          <a:extLst>
            <a:ext uri="{FF2B5EF4-FFF2-40B4-BE49-F238E27FC236}">
              <a16:creationId xmlns:a16="http://schemas.microsoft.com/office/drawing/2014/main" id="{58EC37A5-A38C-4BEA-8B6E-53AA983AF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7" name="Picture 1006">
          <a:extLst>
            <a:ext uri="{FF2B5EF4-FFF2-40B4-BE49-F238E27FC236}">
              <a16:creationId xmlns:a16="http://schemas.microsoft.com/office/drawing/2014/main" id="{B596E796-9785-4D05-A2A6-E5B65C966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8" name="Picture 1007">
          <a:extLst>
            <a:ext uri="{FF2B5EF4-FFF2-40B4-BE49-F238E27FC236}">
              <a16:creationId xmlns:a16="http://schemas.microsoft.com/office/drawing/2014/main" id="{B7F8615B-B4C9-4E26-8308-6B8D7FBC0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09" name="Picture 1008">
          <a:extLst>
            <a:ext uri="{FF2B5EF4-FFF2-40B4-BE49-F238E27FC236}">
              <a16:creationId xmlns:a16="http://schemas.microsoft.com/office/drawing/2014/main" id="{0BD111AE-267B-4600-BB39-85D2D7F59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0" name="Picture 1009">
          <a:extLst>
            <a:ext uri="{FF2B5EF4-FFF2-40B4-BE49-F238E27FC236}">
              <a16:creationId xmlns:a16="http://schemas.microsoft.com/office/drawing/2014/main" id="{3893CED7-241B-4FF5-B095-51E7E839B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1" name="Picture 1010">
          <a:extLst>
            <a:ext uri="{FF2B5EF4-FFF2-40B4-BE49-F238E27FC236}">
              <a16:creationId xmlns:a16="http://schemas.microsoft.com/office/drawing/2014/main" id="{8AC0B3DA-A49F-40EA-8932-B42C7A3AC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2" name="Picture 1011">
          <a:extLst>
            <a:ext uri="{FF2B5EF4-FFF2-40B4-BE49-F238E27FC236}">
              <a16:creationId xmlns:a16="http://schemas.microsoft.com/office/drawing/2014/main" id="{7A75A0FA-21C4-426F-98CD-A5EF4C8D5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3" name="Picture 1012">
          <a:extLst>
            <a:ext uri="{FF2B5EF4-FFF2-40B4-BE49-F238E27FC236}">
              <a16:creationId xmlns:a16="http://schemas.microsoft.com/office/drawing/2014/main" id="{D434BF4E-EBF6-4F30-B431-BBE78AA47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4" name="Picture 1013">
          <a:extLst>
            <a:ext uri="{FF2B5EF4-FFF2-40B4-BE49-F238E27FC236}">
              <a16:creationId xmlns:a16="http://schemas.microsoft.com/office/drawing/2014/main" id="{1B8E717C-54E1-4AAE-A994-6E5B8C67B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5" name="Picture 1014">
          <a:extLst>
            <a:ext uri="{FF2B5EF4-FFF2-40B4-BE49-F238E27FC236}">
              <a16:creationId xmlns:a16="http://schemas.microsoft.com/office/drawing/2014/main" id="{48F15EDC-192D-47B0-9F47-2606B554C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6" name="Picture 1015">
          <a:extLst>
            <a:ext uri="{FF2B5EF4-FFF2-40B4-BE49-F238E27FC236}">
              <a16:creationId xmlns:a16="http://schemas.microsoft.com/office/drawing/2014/main" id="{0E8C5D75-20FE-4BF5-BA71-F85BFCB83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7" name="Picture 1016">
          <a:extLst>
            <a:ext uri="{FF2B5EF4-FFF2-40B4-BE49-F238E27FC236}">
              <a16:creationId xmlns:a16="http://schemas.microsoft.com/office/drawing/2014/main" id="{E64A7F79-BD50-4027-83A6-28A8A89F3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8" name="Picture 1017">
          <a:extLst>
            <a:ext uri="{FF2B5EF4-FFF2-40B4-BE49-F238E27FC236}">
              <a16:creationId xmlns:a16="http://schemas.microsoft.com/office/drawing/2014/main" id="{B445E26C-8545-4146-B93E-64F91A01F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19" name="Picture 1018">
          <a:extLst>
            <a:ext uri="{FF2B5EF4-FFF2-40B4-BE49-F238E27FC236}">
              <a16:creationId xmlns:a16="http://schemas.microsoft.com/office/drawing/2014/main" id="{6A658134-5C80-4A22-9D15-891BBD3B9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0" name="Picture 1019">
          <a:extLst>
            <a:ext uri="{FF2B5EF4-FFF2-40B4-BE49-F238E27FC236}">
              <a16:creationId xmlns:a16="http://schemas.microsoft.com/office/drawing/2014/main" id="{6D0592DC-4DE6-4611-B7E9-ABE0A620D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1" name="Picture 1020">
          <a:extLst>
            <a:ext uri="{FF2B5EF4-FFF2-40B4-BE49-F238E27FC236}">
              <a16:creationId xmlns:a16="http://schemas.microsoft.com/office/drawing/2014/main" id="{AB09827B-91C9-48ED-A2D4-8AB7B7C1B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2" name="Picture 1021">
          <a:extLst>
            <a:ext uri="{FF2B5EF4-FFF2-40B4-BE49-F238E27FC236}">
              <a16:creationId xmlns:a16="http://schemas.microsoft.com/office/drawing/2014/main" id="{A8D4ADD7-AEE1-4DA0-A0EB-0A3868FAD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3" name="Picture 1022">
          <a:extLst>
            <a:ext uri="{FF2B5EF4-FFF2-40B4-BE49-F238E27FC236}">
              <a16:creationId xmlns:a16="http://schemas.microsoft.com/office/drawing/2014/main" id="{A4D4E259-703F-42C7-AB6D-BD7DCF44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4" name="Picture 1023">
          <a:extLst>
            <a:ext uri="{FF2B5EF4-FFF2-40B4-BE49-F238E27FC236}">
              <a16:creationId xmlns:a16="http://schemas.microsoft.com/office/drawing/2014/main" id="{745BBEB4-BFF2-49A1-8F89-0E90568FC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5" name="Picture 1024">
          <a:extLst>
            <a:ext uri="{FF2B5EF4-FFF2-40B4-BE49-F238E27FC236}">
              <a16:creationId xmlns:a16="http://schemas.microsoft.com/office/drawing/2014/main" id="{6C2C42FD-C1E5-46DE-9BA1-9AB135103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6" name="Picture 1025">
          <a:extLst>
            <a:ext uri="{FF2B5EF4-FFF2-40B4-BE49-F238E27FC236}">
              <a16:creationId xmlns:a16="http://schemas.microsoft.com/office/drawing/2014/main" id="{173662B9-D0F2-4495-ACDB-BDD49DFAD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7" name="Picture 1026">
          <a:extLst>
            <a:ext uri="{FF2B5EF4-FFF2-40B4-BE49-F238E27FC236}">
              <a16:creationId xmlns:a16="http://schemas.microsoft.com/office/drawing/2014/main" id="{A63F3652-979C-4FE3-98A1-30C70889A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8" name="Picture 1027">
          <a:extLst>
            <a:ext uri="{FF2B5EF4-FFF2-40B4-BE49-F238E27FC236}">
              <a16:creationId xmlns:a16="http://schemas.microsoft.com/office/drawing/2014/main" id="{B6A601E7-815C-4CCE-B872-71F7A9BA2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29" name="Picture 1028">
          <a:extLst>
            <a:ext uri="{FF2B5EF4-FFF2-40B4-BE49-F238E27FC236}">
              <a16:creationId xmlns:a16="http://schemas.microsoft.com/office/drawing/2014/main" id="{16673D16-BDF4-4D43-A4E4-F7C8A4E76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0" name="Picture 1029">
          <a:extLst>
            <a:ext uri="{FF2B5EF4-FFF2-40B4-BE49-F238E27FC236}">
              <a16:creationId xmlns:a16="http://schemas.microsoft.com/office/drawing/2014/main" id="{B4C163F6-AA41-4703-95F9-F7A07032B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1" name="Picture 1030">
          <a:extLst>
            <a:ext uri="{FF2B5EF4-FFF2-40B4-BE49-F238E27FC236}">
              <a16:creationId xmlns:a16="http://schemas.microsoft.com/office/drawing/2014/main" id="{6C926333-5F58-4FC7-8E5E-9A1129DB1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1F713D2C-9CDF-4E92-BECC-3764850D3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3" name="Picture 1032">
          <a:extLst>
            <a:ext uri="{FF2B5EF4-FFF2-40B4-BE49-F238E27FC236}">
              <a16:creationId xmlns:a16="http://schemas.microsoft.com/office/drawing/2014/main" id="{9AFEE7AC-89FC-4055-BA0E-22F289A62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4" name="Picture 1033">
          <a:extLst>
            <a:ext uri="{FF2B5EF4-FFF2-40B4-BE49-F238E27FC236}">
              <a16:creationId xmlns:a16="http://schemas.microsoft.com/office/drawing/2014/main" id="{28159D51-3010-44B8-AAD2-6AA7441E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5" name="Picture 1034">
          <a:extLst>
            <a:ext uri="{FF2B5EF4-FFF2-40B4-BE49-F238E27FC236}">
              <a16:creationId xmlns:a16="http://schemas.microsoft.com/office/drawing/2014/main" id="{933A0672-D937-4668-A7C2-BC21D3E6D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6" name="Picture 1035">
          <a:extLst>
            <a:ext uri="{FF2B5EF4-FFF2-40B4-BE49-F238E27FC236}">
              <a16:creationId xmlns:a16="http://schemas.microsoft.com/office/drawing/2014/main" id="{B1370693-7FF8-4B54-AB3E-8B344503C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7" name="Picture 1036">
          <a:extLst>
            <a:ext uri="{FF2B5EF4-FFF2-40B4-BE49-F238E27FC236}">
              <a16:creationId xmlns:a16="http://schemas.microsoft.com/office/drawing/2014/main" id="{8BBB5F92-B901-429B-9C03-AF6DB6C38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8" name="Picture 1037">
          <a:extLst>
            <a:ext uri="{FF2B5EF4-FFF2-40B4-BE49-F238E27FC236}">
              <a16:creationId xmlns:a16="http://schemas.microsoft.com/office/drawing/2014/main" id="{B2F1A421-31D1-4256-AD5A-93596A38A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39" name="Picture 1038">
          <a:extLst>
            <a:ext uri="{FF2B5EF4-FFF2-40B4-BE49-F238E27FC236}">
              <a16:creationId xmlns:a16="http://schemas.microsoft.com/office/drawing/2014/main" id="{CE17E207-A749-4EF7-8AA2-3703BF924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0" name="Picture 1039">
          <a:extLst>
            <a:ext uri="{FF2B5EF4-FFF2-40B4-BE49-F238E27FC236}">
              <a16:creationId xmlns:a16="http://schemas.microsoft.com/office/drawing/2014/main" id="{57E33B5E-F10B-4845-9E60-6E6A5D1FF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1" name="Picture 1040">
          <a:extLst>
            <a:ext uri="{FF2B5EF4-FFF2-40B4-BE49-F238E27FC236}">
              <a16:creationId xmlns:a16="http://schemas.microsoft.com/office/drawing/2014/main" id="{9DAC5645-EAF0-4360-AC05-7315EA664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2" name="Picture 1041">
          <a:extLst>
            <a:ext uri="{FF2B5EF4-FFF2-40B4-BE49-F238E27FC236}">
              <a16:creationId xmlns:a16="http://schemas.microsoft.com/office/drawing/2014/main" id="{1CBFE2DE-69F2-4DC2-863D-0434EB202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3" name="Picture 1042">
          <a:extLst>
            <a:ext uri="{FF2B5EF4-FFF2-40B4-BE49-F238E27FC236}">
              <a16:creationId xmlns:a16="http://schemas.microsoft.com/office/drawing/2014/main" id="{84C93FF4-5E63-4BAA-A04C-F55EF01A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4" name="Picture 1043">
          <a:extLst>
            <a:ext uri="{FF2B5EF4-FFF2-40B4-BE49-F238E27FC236}">
              <a16:creationId xmlns:a16="http://schemas.microsoft.com/office/drawing/2014/main" id="{2DDFE2D0-9E33-4957-A363-56B19FD75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5" name="Picture 1044">
          <a:extLst>
            <a:ext uri="{FF2B5EF4-FFF2-40B4-BE49-F238E27FC236}">
              <a16:creationId xmlns:a16="http://schemas.microsoft.com/office/drawing/2014/main" id="{EE8CDF59-3ED6-464B-8746-F10B9D322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6" name="Picture 1045">
          <a:extLst>
            <a:ext uri="{FF2B5EF4-FFF2-40B4-BE49-F238E27FC236}">
              <a16:creationId xmlns:a16="http://schemas.microsoft.com/office/drawing/2014/main" id="{8FA6D0E4-9E1E-4109-A8D6-72E15F265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7" name="Picture 1046">
          <a:extLst>
            <a:ext uri="{FF2B5EF4-FFF2-40B4-BE49-F238E27FC236}">
              <a16:creationId xmlns:a16="http://schemas.microsoft.com/office/drawing/2014/main" id="{71314D89-5B0D-42D4-A656-A5AE34CF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8" name="Picture 1047">
          <a:extLst>
            <a:ext uri="{FF2B5EF4-FFF2-40B4-BE49-F238E27FC236}">
              <a16:creationId xmlns:a16="http://schemas.microsoft.com/office/drawing/2014/main" id="{1BB3E599-86FE-4288-99A7-DB3225CB4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49" name="Picture 1048">
          <a:extLst>
            <a:ext uri="{FF2B5EF4-FFF2-40B4-BE49-F238E27FC236}">
              <a16:creationId xmlns:a16="http://schemas.microsoft.com/office/drawing/2014/main" id="{CA53CCC6-AB50-419B-B92E-C68D09B6D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0" name="Picture 1049">
          <a:extLst>
            <a:ext uri="{FF2B5EF4-FFF2-40B4-BE49-F238E27FC236}">
              <a16:creationId xmlns:a16="http://schemas.microsoft.com/office/drawing/2014/main" id="{5A91F537-ACA2-4FD0-AD4F-752DDAAB0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1" name="Picture 1050">
          <a:extLst>
            <a:ext uri="{FF2B5EF4-FFF2-40B4-BE49-F238E27FC236}">
              <a16:creationId xmlns:a16="http://schemas.microsoft.com/office/drawing/2014/main" id="{5F9460C0-6031-417A-987D-6F0996946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2" name="Picture 1051">
          <a:extLst>
            <a:ext uri="{FF2B5EF4-FFF2-40B4-BE49-F238E27FC236}">
              <a16:creationId xmlns:a16="http://schemas.microsoft.com/office/drawing/2014/main" id="{9C3DFF4E-B300-4F43-8997-545BAAD8C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3" name="Picture 1052">
          <a:extLst>
            <a:ext uri="{FF2B5EF4-FFF2-40B4-BE49-F238E27FC236}">
              <a16:creationId xmlns:a16="http://schemas.microsoft.com/office/drawing/2014/main" id="{51C52499-FC3C-4C7A-99C7-43A28106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4" name="Picture 1053">
          <a:extLst>
            <a:ext uri="{FF2B5EF4-FFF2-40B4-BE49-F238E27FC236}">
              <a16:creationId xmlns:a16="http://schemas.microsoft.com/office/drawing/2014/main" id="{B438ABC3-2E51-448B-A84A-116B919F4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5" name="Picture 1054">
          <a:extLst>
            <a:ext uri="{FF2B5EF4-FFF2-40B4-BE49-F238E27FC236}">
              <a16:creationId xmlns:a16="http://schemas.microsoft.com/office/drawing/2014/main" id="{8A49218F-895E-46D0-B173-475CA29B6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6" name="Picture 1055">
          <a:extLst>
            <a:ext uri="{FF2B5EF4-FFF2-40B4-BE49-F238E27FC236}">
              <a16:creationId xmlns:a16="http://schemas.microsoft.com/office/drawing/2014/main" id="{C500D943-C70F-435E-80F3-C507E0DF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7" name="Picture 1056">
          <a:extLst>
            <a:ext uri="{FF2B5EF4-FFF2-40B4-BE49-F238E27FC236}">
              <a16:creationId xmlns:a16="http://schemas.microsoft.com/office/drawing/2014/main" id="{C421749B-2D31-43B1-A63B-7A892596C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8" name="Picture 1057">
          <a:extLst>
            <a:ext uri="{FF2B5EF4-FFF2-40B4-BE49-F238E27FC236}">
              <a16:creationId xmlns:a16="http://schemas.microsoft.com/office/drawing/2014/main" id="{610DEA14-0346-4C54-A92C-B5C7C2443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59" name="Picture 1058">
          <a:extLst>
            <a:ext uri="{FF2B5EF4-FFF2-40B4-BE49-F238E27FC236}">
              <a16:creationId xmlns:a16="http://schemas.microsoft.com/office/drawing/2014/main" id="{A483D8A4-4FE7-4F83-86C0-E9A8B5C6C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0" name="Picture 1059">
          <a:extLst>
            <a:ext uri="{FF2B5EF4-FFF2-40B4-BE49-F238E27FC236}">
              <a16:creationId xmlns:a16="http://schemas.microsoft.com/office/drawing/2014/main" id="{090CBD50-735F-4A37-BEA0-A8E7598B9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1" name="Picture 1060">
          <a:extLst>
            <a:ext uri="{FF2B5EF4-FFF2-40B4-BE49-F238E27FC236}">
              <a16:creationId xmlns:a16="http://schemas.microsoft.com/office/drawing/2014/main" id="{60F3D1C8-F61A-448D-9BB8-2270979D7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2" name="Picture 1061">
          <a:extLst>
            <a:ext uri="{FF2B5EF4-FFF2-40B4-BE49-F238E27FC236}">
              <a16:creationId xmlns:a16="http://schemas.microsoft.com/office/drawing/2014/main" id="{A9BE63BD-2D8A-4577-B027-83DE5DE67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3" name="Picture 1062">
          <a:extLst>
            <a:ext uri="{FF2B5EF4-FFF2-40B4-BE49-F238E27FC236}">
              <a16:creationId xmlns:a16="http://schemas.microsoft.com/office/drawing/2014/main" id="{25D7D874-0D50-456D-B096-7A77E13C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4" name="Picture 1063">
          <a:extLst>
            <a:ext uri="{FF2B5EF4-FFF2-40B4-BE49-F238E27FC236}">
              <a16:creationId xmlns:a16="http://schemas.microsoft.com/office/drawing/2014/main" id="{9F2B8C43-FD45-46CE-8949-28A40E61A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5" name="Picture 1064">
          <a:extLst>
            <a:ext uri="{FF2B5EF4-FFF2-40B4-BE49-F238E27FC236}">
              <a16:creationId xmlns:a16="http://schemas.microsoft.com/office/drawing/2014/main" id="{5143E7D8-B49A-4B40-A6FA-4ADA4803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6" name="Picture 1065">
          <a:extLst>
            <a:ext uri="{FF2B5EF4-FFF2-40B4-BE49-F238E27FC236}">
              <a16:creationId xmlns:a16="http://schemas.microsoft.com/office/drawing/2014/main" id="{9F9191D1-C92B-4176-9CED-ABD303C99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7" name="Picture 1066">
          <a:extLst>
            <a:ext uri="{FF2B5EF4-FFF2-40B4-BE49-F238E27FC236}">
              <a16:creationId xmlns:a16="http://schemas.microsoft.com/office/drawing/2014/main" id="{9227BD0A-1B63-47E1-AA10-0A05C7079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8" name="Picture 1067">
          <a:extLst>
            <a:ext uri="{FF2B5EF4-FFF2-40B4-BE49-F238E27FC236}">
              <a16:creationId xmlns:a16="http://schemas.microsoft.com/office/drawing/2014/main" id="{40C23D76-368E-4B96-AD58-A1343C607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69" name="Picture 1068">
          <a:extLst>
            <a:ext uri="{FF2B5EF4-FFF2-40B4-BE49-F238E27FC236}">
              <a16:creationId xmlns:a16="http://schemas.microsoft.com/office/drawing/2014/main" id="{16819FBA-038D-41E6-8EEA-181D47008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0" name="Picture 1069">
          <a:extLst>
            <a:ext uri="{FF2B5EF4-FFF2-40B4-BE49-F238E27FC236}">
              <a16:creationId xmlns:a16="http://schemas.microsoft.com/office/drawing/2014/main" id="{F3275AB7-4850-4F6A-9A5C-F3DF531D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1" name="Picture 1070">
          <a:extLst>
            <a:ext uri="{FF2B5EF4-FFF2-40B4-BE49-F238E27FC236}">
              <a16:creationId xmlns:a16="http://schemas.microsoft.com/office/drawing/2014/main" id="{DDB50C2E-8116-4BE5-8DB0-ADF2543C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2" name="Picture 1071">
          <a:extLst>
            <a:ext uri="{FF2B5EF4-FFF2-40B4-BE49-F238E27FC236}">
              <a16:creationId xmlns:a16="http://schemas.microsoft.com/office/drawing/2014/main" id="{D087D096-44EC-432F-9767-703E91D78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3" name="Picture 1072">
          <a:extLst>
            <a:ext uri="{FF2B5EF4-FFF2-40B4-BE49-F238E27FC236}">
              <a16:creationId xmlns:a16="http://schemas.microsoft.com/office/drawing/2014/main" id="{1FF3552A-76AA-4521-8167-CB899CDEE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4" name="Picture 1073">
          <a:extLst>
            <a:ext uri="{FF2B5EF4-FFF2-40B4-BE49-F238E27FC236}">
              <a16:creationId xmlns:a16="http://schemas.microsoft.com/office/drawing/2014/main" id="{515343A6-D0BB-4F54-937F-9B17EEE7A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5" name="Picture 1074">
          <a:extLst>
            <a:ext uri="{FF2B5EF4-FFF2-40B4-BE49-F238E27FC236}">
              <a16:creationId xmlns:a16="http://schemas.microsoft.com/office/drawing/2014/main" id="{8199080F-2F2D-4700-A2D2-B4A4E94C2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6" name="Picture 1075">
          <a:extLst>
            <a:ext uri="{FF2B5EF4-FFF2-40B4-BE49-F238E27FC236}">
              <a16:creationId xmlns:a16="http://schemas.microsoft.com/office/drawing/2014/main" id="{EB908B52-8DB2-4E6C-AFF2-0F2B41076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7" name="Picture 1076">
          <a:extLst>
            <a:ext uri="{FF2B5EF4-FFF2-40B4-BE49-F238E27FC236}">
              <a16:creationId xmlns:a16="http://schemas.microsoft.com/office/drawing/2014/main" id="{33B62268-B887-450B-9669-2E5A792C3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8" name="Picture 1077">
          <a:extLst>
            <a:ext uri="{FF2B5EF4-FFF2-40B4-BE49-F238E27FC236}">
              <a16:creationId xmlns:a16="http://schemas.microsoft.com/office/drawing/2014/main" id="{DE7611E3-D242-41E4-BA22-60AA96084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79" name="Picture 1078">
          <a:extLst>
            <a:ext uri="{FF2B5EF4-FFF2-40B4-BE49-F238E27FC236}">
              <a16:creationId xmlns:a16="http://schemas.microsoft.com/office/drawing/2014/main" id="{87CA21E1-016D-4EB4-8E1B-9E484AFC9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0" name="Picture 1079">
          <a:extLst>
            <a:ext uri="{FF2B5EF4-FFF2-40B4-BE49-F238E27FC236}">
              <a16:creationId xmlns:a16="http://schemas.microsoft.com/office/drawing/2014/main" id="{58911DD2-A317-41E5-A597-DDA6C3264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1" name="Picture 1080">
          <a:extLst>
            <a:ext uri="{FF2B5EF4-FFF2-40B4-BE49-F238E27FC236}">
              <a16:creationId xmlns:a16="http://schemas.microsoft.com/office/drawing/2014/main" id="{5663387B-B5BD-4E61-9C22-A53A7600D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2" name="Picture 1081">
          <a:extLst>
            <a:ext uri="{FF2B5EF4-FFF2-40B4-BE49-F238E27FC236}">
              <a16:creationId xmlns:a16="http://schemas.microsoft.com/office/drawing/2014/main" id="{8BB47970-BD89-4E3D-A669-5F5EFE504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3" name="Picture 1082">
          <a:extLst>
            <a:ext uri="{FF2B5EF4-FFF2-40B4-BE49-F238E27FC236}">
              <a16:creationId xmlns:a16="http://schemas.microsoft.com/office/drawing/2014/main" id="{07279626-C0CD-4C28-809F-523DCC7AE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4" name="Picture 1083">
          <a:extLst>
            <a:ext uri="{FF2B5EF4-FFF2-40B4-BE49-F238E27FC236}">
              <a16:creationId xmlns:a16="http://schemas.microsoft.com/office/drawing/2014/main" id="{2AFF0BC9-86C1-4F37-8935-E7B81E93B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5" name="Picture 1084">
          <a:extLst>
            <a:ext uri="{FF2B5EF4-FFF2-40B4-BE49-F238E27FC236}">
              <a16:creationId xmlns:a16="http://schemas.microsoft.com/office/drawing/2014/main" id="{42AC1DA3-21B1-4A6F-B28C-9B9DE7F04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6" name="Picture 1085">
          <a:extLst>
            <a:ext uri="{FF2B5EF4-FFF2-40B4-BE49-F238E27FC236}">
              <a16:creationId xmlns:a16="http://schemas.microsoft.com/office/drawing/2014/main" id="{7A2B8F4B-63B3-4838-97E2-60056153C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7" name="Picture 1086">
          <a:extLst>
            <a:ext uri="{FF2B5EF4-FFF2-40B4-BE49-F238E27FC236}">
              <a16:creationId xmlns:a16="http://schemas.microsoft.com/office/drawing/2014/main" id="{13AF2AFE-3C72-4E32-B71B-295EC6EA3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8" name="Picture 1087">
          <a:extLst>
            <a:ext uri="{FF2B5EF4-FFF2-40B4-BE49-F238E27FC236}">
              <a16:creationId xmlns:a16="http://schemas.microsoft.com/office/drawing/2014/main" id="{7CC134D7-2DD2-4F18-9CE1-AAA97D9B2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89" name="Picture 1088">
          <a:extLst>
            <a:ext uri="{FF2B5EF4-FFF2-40B4-BE49-F238E27FC236}">
              <a16:creationId xmlns:a16="http://schemas.microsoft.com/office/drawing/2014/main" id="{58B32FF1-F66B-4001-ABF0-F0190968E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0" name="Picture 1089">
          <a:extLst>
            <a:ext uri="{FF2B5EF4-FFF2-40B4-BE49-F238E27FC236}">
              <a16:creationId xmlns:a16="http://schemas.microsoft.com/office/drawing/2014/main" id="{3764A18F-936F-4FF7-B2DB-5C0EF21AD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1" name="Picture 1090">
          <a:extLst>
            <a:ext uri="{FF2B5EF4-FFF2-40B4-BE49-F238E27FC236}">
              <a16:creationId xmlns:a16="http://schemas.microsoft.com/office/drawing/2014/main" id="{80D42B09-29A4-46BA-AADE-B9B032B56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2" name="Picture 1091">
          <a:extLst>
            <a:ext uri="{FF2B5EF4-FFF2-40B4-BE49-F238E27FC236}">
              <a16:creationId xmlns:a16="http://schemas.microsoft.com/office/drawing/2014/main" id="{D3488356-6FFD-4435-87BE-9A9E0DCC5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3" name="Picture 1092">
          <a:extLst>
            <a:ext uri="{FF2B5EF4-FFF2-40B4-BE49-F238E27FC236}">
              <a16:creationId xmlns:a16="http://schemas.microsoft.com/office/drawing/2014/main" id="{E506AAD5-5149-4115-81D3-66735E8A1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4" name="Picture 1093">
          <a:extLst>
            <a:ext uri="{FF2B5EF4-FFF2-40B4-BE49-F238E27FC236}">
              <a16:creationId xmlns:a16="http://schemas.microsoft.com/office/drawing/2014/main" id="{1B9FACA1-6079-4D50-A3CC-04570B4B7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5" name="Picture 1094">
          <a:extLst>
            <a:ext uri="{FF2B5EF4-FFF2-40B4-BE49-F238E27FC236}">
              <a16:creationId xmlns:a16="http://schemas.microsoft.com/office/drawing/2014/main" id="{AC771835-2C61-4A0B-819C-C4E0D525D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6" name="Picture 1095">
          <a:extLst>
            <a:ext uri="{FF2B5EF4-FFF2-40B4-BE49-F238E27FC236}">
              <a16:creationId xmlns:a16="http://schemas.microsoft.com/office/drawing/2014/main" id="{BF58D83F-B320-48C3-A603-DD3F9D24A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7" name="Picture 1096">
          <a:extLst>
            <a:ext uri="{FF2B5EF4-FFF2-40B4-BE49-F238E27FC236}">
              <a16:creationId xmlns:a16="http://schemas.microsoft.com/office/drawing/2014/main" id="{C99093A8-AD60-4541-AE2F-812A9A175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8" name="Picture 1097">
          <a:extLst>
            <a:ext uri="{FF2B5EF4-FFF2-40B4-BE49-F238E27FC236}">
              <a16:creationId xmlns:a16="http://schemas.microsoft.com/office/drawing/2014/main" id="{4E92EB19-9328-48CA-B00A-7181BCD06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099" name="Picture 1098">
          <a:extLst>
            <a:ext uri="{FF2B5EF4-FFF2-40B4-BE49-F238E27FC236}">
              <a16:creationId xmlns:a16="http://schemas.microsoft.com/office/drawing/2014/main" id="{75113F15-F944-410B-ACB3-42D22F6C5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0" name="Picture 1099">
          <a:extLst>
            <a:ext uri="{FF2B5EF4-FFF2-40B4-BE49-F238E27FC236}">
              <a16:creationId xmlns:a16="http://schemas.microsoft.com/office/drawing/2014/main" id="{F6594681-4E4E-4180-8EF7-F266EBFD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1" name="Picture 1100">
          <a:extLst>
            <a:ext uri="{FF2B5EF4-FFF2-40B4-BE49-F238E27FC236}">
              <a16:creationId xmlns:a16="http://schemas.microsoft.com/office/drawing/2014/main" id="{4346DE56-CAD5-44FE-8974-A13B2B8F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2" name="Picture 1101">
          <a:extLst>
            <a:ext uri="{FF2B5EF4-FFF2-40B4-BE49-F238E27FC236}">
              <a16:creationId xmlns:a16="http://schemas.microsoft.com/office/drawing/2014/main" id="{009B755C-7EA6-4A7F-B48E-93B920809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3" name="Picture 1102">
          <a:extLst>
            <a:ext uri="{FF2B5EF4-FFF2-40B4-BE49-F238E27FC236}">
              <a16:creationId xmlns:a16="http://schemas.microsoft.com/office/drawing/2014/main" id="{2F7C2C3D-50E1-42A8-A880-75EC961EA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4" name="Picture 1103">
          <a:extLst>
            <a:ext uri="{FF2B5EF4-FFF2-40B4-BE49-F238E27FC236}">
              <a16:creationId xmlns:a16="http://schemas.microsoft.com/office/drawing/2014/main" id="{AEE68000-132D-43C5-8F85-F7AD3D6D2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5" name="Picture 1104">
          <a:extLst>
            <a:ext uri="{FF2B5EF4-FFF2-40B4-BE49-F238E27FC236}">
              <a16:creationId xmlns:a16="http://schemas.microsoft.com/office/drawing/2014/main" id="{19987D3F-BCCB-427C-8153-DE54EB15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6" name="Picture 1105">
          <a:extLst>
            <a:ext uri="{FF2B5EF4-FFF2-40B4-BE49-F238E27FC236}">
              <a16:creationId xmlns:a16="http://schemas.microsoft.com/office/drawing/2014/main" id="{C34F43A1-E5DC-4FA8-B81A-42D6B6228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7" name="Picture 1106">
          <a:extLst>
            <a:ext uri="{FF2B5EF4-FFF2-40B4-BE49-F238E27FC236}">
              <a16:creationId xmlns:a16="http://schemas.microsoft.com/office/drawing/2014/main" id="{2FD5477E-4EAA-454F-9F23-93E5857B1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8" name="Picture 1107">
          <a:extLst>
            <a:ext uri="{FF2B5EF4-FFF2-40B4-BE49-F238E27FC236}">
              <a16:creationId xmlns:a16="http://schemas.microsoft.com/office/drawing/2014/main" id="{6960A6BF-687C-42BF-9363-8CFA69EDB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09" name="Picture 1108">
          <a:extLst>
            <a:ext uri="{FF2B5EF4-FFF2-40B4-BE49-F238E27FC236}">
              <a16:creationId xmlns:a16="http://schemas.microsoft.com/office/drawing/2014/main" id="{B35AD4F3-0F33-4CAF-B6AD-DD053FE1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0" name="Picture 1109">
          <a:extLst>
            <a:ext uri="{FF2B5EF4-FFF2-40B4-BE49-F238E27FC236}">
              <a16:creationId xmlns:a16="http://schemas.microsoft.com/office/drawing/2014/main" id="{E16FC196-7574-4763-AE58-030896F58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1" name="Picture 1110">
          <a:extLst>
            <a:ext uri="{FF2B5EF4-FFF2-40B4-BE49-F238E27FC236}">
              <a16:creationId xmlns:a16="http://schemas.microsoft.com/office/drawing/2014/main" id="{5140C60D-1990-48F9-B8CD-B51B3F122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2" name="Picture 1111">
          <a:extLst>
            <a:ext uri="{FF2B5EF4-FFF2-40B4-BE49-F238E27FC236}">
              <a16:creationId xmlns:a16="http://schemas.microsoft.com/office/drawing/2014/main" id="{66B259DB-DB2F-446D-9595-A41D706E3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3" name="Picture 1112">
          <a:extLst>
            <a:ext uri="{FF2B5EF4-FFF2-40B4-BE49-F238E27FC236}">
              <a16:creationId xmlns:a16="http://schemas.microsoft.com/office/drawing/2014/main" id="{34429BE0-0DEC-4C5C-9EBC-209D3A84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4" name="Picture 1113">
          <a:extLst>
            <a:ext uri="{FF2B5EF4-FFF2-40B4-BE49-F238E27FC236}">
              <a16:creationId xmlns:a16="http://schemas.microsoft.com/office/drawing/2014/main" id="{2D5FF060-AB59-4483-BB68-AF19A3BA2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5" name="Picture 1114">
          <a:extLst>
            <a:ext uri="{FF2B5EF4-FFF2-40B4-BE49-F238E27FC236}">
              <a16:creationId xmlns:a16="http://schemas.microsoft.com/office/drawing/2014/main" id="{EAED04FE-F403-4D64-AFF8-32D45D797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6" name="Picture 1115">
          <a:extLst>
            <a:ext uri="{FF2B5EF4-FFF2-40B4-BE49-F238E27FC236}">
              <a16:creationId xmlns:a16="http://schemas.microsoft.com/office/drawing/2014/main" id="{0542CDEB-3A7A-46CB-AB98-58C5BB802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7" name="Picture 1116">
          <a:extLst>
            <a:ext uri="{FF2B5EF4-FFF2-40B4-BE49-F238E27FC236}">
              <a16:creationId xmlns:a16="http://schemas.microsoft.com/office/drawing/2014/main" id="{B5EC27D1-FCDD-4670-9AE0-ECE873AC6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8" name="Picture 1117">
          <a:extLst>
            <a:ext uri="{FF2B5EF4-FFF2-40B4-BE49-F238E27FC236}">
              <a16:creationId xmlns:a16="http://schemas.microsoft.com/office/drawing/2014/main" id="{6C5B0552-FD87-4B7D-AA35-EEDF1D4D1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19" name="Picture 1118">
          <a:extLst>
            <a:ext uri="{FF2B5EF4-FFF2-40B4-BE49-F238E27FC236}">
              <a16:creationId xmlns:a16="http://schemas.microsoft.com/office/drawing/2014/main" id="{92B0133D-D89A-49A6-8E20-35E1065A4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0" name="Picture 1119">
          <a:extLst>
            <a:ext uri="{FF2B5EF4-FFF2-40B4-BE49-F238E27FC236}">
              <a16:creationId xmlns:a16="http://schemas.microsoft.com/office/drawing/2014/main" id="{F207F023-3AAE-4F46-A90E-FAE18F43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1" name="Picture 1120">
          <a:extLst>
            <a:ext uri="{FF2B5EF4-FFF2-40B4-BE49-F238E27FC236}">
              <a16:creationId xmlns:a16="http://schemas.microsoft.com/office/drawing/2014/main" id="{9766C5C0-89A7-47B4-8023-B92611D93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2" name="Picture 1121">
          <a:extLst>
            <a:ext uri="{FF2B5EF4-FFF2-40B4-BE49-F238E27FC236}">
              <a16:creationId xmlns:a16="http://schemas.microsoft.com/office/drawing/2014/main" id="{1BD6B92B-2128-4CD8-9C50-1A549F64A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3" name="Picture 1122">
          <a:extLst>
            <a:ext uri="{FF2B5EF4-FFF2-40B4-BE49-F238E27FC236}">
              <a16:creationId xmlns:a16="http://schemas.microsoft.com/office/drawing/2014/main" id="{C122C683-2BA1-423A-A765-4E68821F1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4" name="Picture 1123">
          <a:extLst>
            <a:ext uri="{FF2B5EF4-FFF2-40B4-BE49-F238E27FC236}">
              <a16:creationId xmlns:a16="http://schemas.microsoft.com/office/drawing/2014/main" id="{6BC6FFB7-7121-4FC9-8917-A03C1C798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5" name="Picture 1124">
          <a:extLst>
            <a:ext uri="{FF2B5EF4-FFF2-40B4-BE49-F238E27FC236}">
              <a16:creationId xmlns:a16="http://schemas.microsoft.com/office/drawing/2014/main" id="{D9C6F0A2-03B2-4412-B661-85FBA1ADB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6" name="Picture 1125">
          <a:extLst>
            <a:ext uri="{FF2B5EF4-FFF2-40B4-BE49-F238E27FC236}">
              <a16:creationId xmlns:a16="http://schemas.microsoft.com/office/drawing/2014/main" id="{48902C18-D0B9-4946-82A3-2D6A3C2F7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7" name="Picture 1126">
          <a:extLst>
            <a:ext uri="{FF2B5EF4-FFF2-40B4-BE49-F238E27FC236}">
              <a16:creationId xmlns:a16="http://schemas.microsoft.com/office/drawing/2014/main" id="{81EC28D7-D8CB-4740-B523-47EC5DE0D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8" name="Picture 1127">
          <a:extLst>
            <a:ext uri="{FF2B5EF4-FFF2-40B4-BE49-F238E27FC236}">
              <a16:creationId xmlns:a16="http://schemas.microsoft.com/office/drawing/2014/main" id="{3CCBCAC2-866F-4FD0-9FF9-522F78FC1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29" name="Picture 1128">
          <a:extLst>
            <a:ext uri="{FF2B5EF4-FFF2-40B4-BE49-F238E27FC236}">
              <a16:creationId xmlns:a16="http://schemas.microsoft.com/office/drawing/2014/main" id="{2D2275F3-AD84-4A20-B20B-186B8AA21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0" name="Picture 1129">
          <a:extLst>
            <a:ext uri="{FF2B5EF4-FFF2-40B4-BE49-F238E27FC236}">
              <a16:creationId xmlns:a16="http://schemas.microsoft.com/office/drawing/2014/main" id="{1C0DF942-7216-4363-A739-7CBD03A2A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1" name="Picture 1130">
          <a:extLst>
            <a:ext uri="{FF2B5EF4-FFF2-40B4-BE49-F238E27FC236}">
              <a16:creationId xmlns:a16="http://schemas.microsoft.com/office/drawing/2014/main" id="{335A6FBC-C271-4271-BA83-61A8EFB71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2" name="Picture 1131">
          <a:extLst>
            <a:ext uri="{FF2B5EF4-FFF2-40B4-BE49-F238E27FC236}">
              <a16:creationId xmlns:a16="http://schemas.microsoft.com/office/drawing/2014/main" id="{99B8DAAF-1D6B-429C-BE34-70DF0220D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3" name="Picture 1132">
          <a:extLst>
            <a:ext uri="{FF2B5EF4-FFF2-40B4-BE49-F238E27FC236}">
              <a16:creationId xmlns:a16="http://schemas.microsoft.com/office/drawing/2014/main" id="{CE0039B4-C821-4555-85EA-C94D5676E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4" name="Picture 1133">
          <a:extLst>
            <a:ext uri="{FF2B5EF4-FFF2-40B4-BE49-F238E27FC236}">
              <a16:creationId xmlns:a16="http://schemas.microsoft.com/office/drawing/2014/main" id="{68FC1622-289F-4A38-B9A0-348681DA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5" name="Picture 1134">
          <a:extLst>
            <a:ext uri="{FF2B5EF4-FFF2-40B4-BE49-F238E27FC236}">
              <a16:creationId xmlns:a16="http://schemas.microsoft.com/office/drawing/2014/main" id="{65E330A9-C610-4A6C-846B-862BA243E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6" name="Picture 1135">
          <a:extLst>
            <a:ext uri="{FF2B5EF4-FFF2-40B4-BE49-F238E27FC236}">
              <a16:creationId xmlns:a16="http://schemas.microsoft.com/office/drawing/2014/main" id="{19B5ECA3-8E37-4DE6-85F5-FDBE0C2C1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7" name="Picture 1136">
          <a:extLst>
            <a:ext uri="{FF2B5EF4-FFF2-40B4-BE49-F238E27FC236}">
              <a16:creationId xmlns:a16="http://schemas.microsoft.com/office/drawing/2014/main" id="{D520DB4A-CC7D-497A-8E0C-1E033B661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8" name="Picture 1137">
          <a:extLst>
            <a:ext uri="{FF2B5EF4-FFF2-40B4-BE49-F238E27FC236}">
              <a16:creationId xmlns:a16="http://schemas.microsoft.com/office/drawing/2014/main" id="{6A14F1E2-94A2-4BC4-9E97-187CAABE7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39" name="Picture 1138">
          <a:extLst>
            <a:ext uri="{FF2B5EF4-FFF2-40B4-BE49-F238E27FC236}">
              <a16:creationId xmlns:a16="http://schemas.microsoft.com/office/drawing/2014/main" id="{9083130F-F8FB-4D42-BED0-53F6E3363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0" name="Picture 1139">
          <a:extLst>
            <a:ext uri="{FF2B5EF4-FFF2-40B4-BE49-F238E27FC236}">
              <a16:creationId xmlns:a16="http://schemas.microsoft.com/office/drawing/2014/main" id="{CC68739A-2AD5-4813-A3EC-1CD5A4B5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1" name="Picture 1140">
          <a:extLst>
            <a:ext uri="{FF2B5EF4-FFF2-40B4-BE49-F238E27FC236}">
              <a16:creationId xmlns:a16="http://schemas.microsoft.com/office/drawing/2014/main" id="{46D48C96-D8B6-4DC6-86C7-FA580C055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2" name="Picture 1141">
          <a:extLst>
            <a:ext uri="{FF2B5EF4-FFF2-40B4-BE49-F238E27FC236}">
              <a16:creationId xmlns:a16="http://schemas.microsoft.com/office/drawing/2014/main" id="{3732282E-D95E-4F70-8C01-977184C39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3" name="Picture 1142">
          <a:extLst>
            <a:ext uri="{FF2B5EF4-FFF2-40B4-BE49-F238E27FC236}">
              <a16:creationId xmlns:a16="http://schemas.microsoft.com/office/drawing/2014/main" id="{C981DF74-521A-4138-BBD3-2516A1E20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4" name="Picture 1143">
          <a:extLst>
            <a:ext uri="{FF2B5EF4-FFF2-40B4-BE49-F238E27FC236}">
              <a16:creationId xmlns:a16="http://schemas.microsoft.com/office/drawing/2014/main" id="{C9157C50-FE1F-4861-B271-89BD0E100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5" name="Picture 1144">
          <a:extLst>
            <a:ext uri="{FF2B5EF4-FFF2-40B4-BE49-F238E27FC236}">
              <a16:creationId xmlns:a16="http://schemas.microsoft.com/office/drawing/2014/main" id="{799956DC-9BD3-4E5E-BD35-8F838D807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6" name="Picture 1145">
          <a:extLst>
            <a:ext uri="{FF2B5EF4-FFF2-40B4-BE49-F238E27FC236}">
              <a16:creationId xmlns:a16="http://schemas.microsoft.com/office/drawing/2014/main" id="{BFDBFF1F-0AAF-45F3-B5AC-7FCC160BF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7" name="Picture 1146">
          <a:extLst>
            <a:ext uri="{FF2B5EF4-FFF2-40B4-BE49-F238E27FC236}">
              <a16:creationId xmlns:a16="http://schemas.microsoft.com/office/drawing/2014/main" id="{2962E36D-F2D8-4A08-8B73-CDF2C76DC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8" name="Picture 1147">
          <a:extLst>
            <a:ext uri="{FF2B5EF4-FFF2-40B4-BE49-F238E27FC236}">
              <a16:creationId xmlns:a16="http://schemas.microsoft.com/office/drawing/2014/main" id="{6598E04B-29A5-48F6-B727-2ED281D25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49" name="Picture 1148">
          <a:extLst>
            <a:ext uri="{FF2B5EF4-FFF2-40B4-BE49-F238E27FC236}">
              <a16:creationId xmlns:a16="http://schemas.microsoft.com/office/drawing/2014/main" id="{324069AD-5666-4662-BA62-B546BC69F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0" name="Picture 1149">
          <a:extLst>
            <a:ext uri="{FF2B5EF4-FFF2-40B4-BE49-F238E27FC236}">
              <a16:creationId xmlns:a16="http://schemas.microsoft.com/office/drawing/2014/main" id="{49707987-E3DA-47EA-967E-0430BCA83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1" name="Picture 1150">
          <a:extLst>
            <a:ext uri="{FF2B5EF4-FFF2-40B4-BE49-F238E27FC236}">
              <a16:creationId xmlns:a16="http://schemas.microsoft.com/office/drawing/2014/main" id="{597688CB-C907-485B-A93E-D1C9142B2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2" name="Picture 1151">
          <a:extLst>
            <a:ext uri="{FF2B5EF4-FFF2-40B4-BE49-F238E27FC236}">
              <a16:creationId xmlns:a16="http://schemas.microsoft.com/office/drawing/2014/main" id="{B293B381-B69E-4289-BDAE-1B435002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3" name="Picture 1152">
          <a:extLst>
            <a:ext uri="{FF2B5EF4-FFF2-40B4-BE49-F238E27FC236}">
              <a16:creationId xmlns:a16="http://schemas.microsoft.com/office/drawing/2014/main" id="{B8CCCCD3-4B41-46C0-9A37-02C6E7CD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4" name="Picture 1153">
          <a:extLst>
            <a:ext uri="{FF2B5EF4-FFF2-40B4-BE49-F238E27FC236}">
              <a16:creationId xmlns:a16="http://schemas.microsoft.com/office/drawing/2014/main" id="{C4EE0061-E119-4895-9B95-B586372FC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5" name="Picture 1154">
          <a:extLst>
            <a:ext uri="{FF2B5EF4-FFF2-40B4-BE49-F238E27FC236}">
              <a16:creationId xmlns:a16="http://schemas.microsoft.com/office/drawing/2014/main" id="{9638BA79-2923-4A20-AB2A-C5FE40533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6" name="Picture 1155">
          <a:extLst>
            <a:ext uri="{FF2B5EF4-FFF2-40B4-BE49-F238E27FC236}">
              <a16:creationId xmlns:a16="http://schemas.microsoft.com/office/drawing/2014/main" id="{1EBBEB6B-0032-4BCD-BDC9-D051E4C98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7" name="Picture 1156">
          <a:extLst>
            <a:ext uri="{FF2B5EF4-FFF2-40B4-BE49-F238E27FC236}">
              <a16:creationId xmlns:a16="http://schemas.microsoft.com/office/drawing/2014/main" id="{4677EB47-4DC8-4CB3-B702-7575A916F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8" name="Picture 1157">
          <a:extLst>
            <a:ext uri="{FF2B5EF4-FFF2-40B4-BE49-F238E27FC236}">
              <a16:creationId xmlns:a16="http://schemas.microsoft.com/office/drawing/2014/main" id="{7EC5EF43-D7BF-4D77-8061-C98C4DE9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59" name="Picture 1158">
          <a:extLst>
            <a:ext uri="{FF2B5EF4-FFF2-40B4-BE49-F238E27FC236}">
              <a16:creationId xmlns:a16="http://schemas.microsoft.com/office/drawing/2014/main" id="{8E70A677-0E11-4029-9E03-376E2F0B4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0" name="Picture 1159">
          <a:extLst>
            <a:ext uri="{FF2B5EF4-FFF2-40B4-BE49-F238E27FC236}">
              <a16:creationId xmlns:a16="http://schemas.microsoft.com/office/drawing/2014/main" id="{4F855655-68F4-404D-AE26-E5E9E002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1" name="Picture 1160">
          <a:extLst>
            <a:ext uri="{FF2B5EF4-FFF2-40B4-BE49-F238E27FC236}">
              <a16:creationId xmlns:a16="http://schemas.microsoft.com/office/drawing/2014/main" id="{9F1B9D60-551D-45DC-8205-597612C21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2" name="Picture 1161">
          <a:extLst>
            <a:ext uri="{FF2B5EF4-FFF2-40B4-BE49-F238E27FC236}">
              <a16:creationId xmlns:a16="http://schemas.microsoft.com/office/drawing/2014/main" id="{9A8B6D0D-0170-47CB-8526-C8D249C39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3" name="Picture 1162">
          <a:extLst>
            <a:ext uri="{FF2B5EF4-FFF2-40B4-BE49-F238E27FC236}">
              <a16:creationId xmlns:a16="http://schemas.microsoft.com/office/drawing/2014/main" id="{EA412117-2569-4A39-8354-A41BC002B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4" name="Picture 1163">
          <a:extLst>
            <a:ext uri="{FF2B5EF4-FFF2-40B4-BE49-F238E27FC236}">
              <a16:creationId xmlns:a16="http://schemas.microsoft.com/office/drawing/2014/main" id="{2FB01B4B-8348-44AB-861C-8FAC75CA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5" name="Picture 1164">
          <a:extLst>
            <a:ext uri="{FF2B5EF4-FFF2-40B4-BE49-F238E27FC236}">
              <a16:creationId xmlns:a16="http://schemas.microsoft.com/office/drawing/2014/main" id="{1637F404-BB45-4985-AF2C-0E0769BCD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6" name="Picture 1165">
          <a:extLst>
            <a:ext uri="{FF2B5EF4-FFF2-40B4-BE49-F238E27FC236}">
              <a16:creationId xmlns:a16="http://schemas.microsoft.com/office/drawing/2014/main" id="{D43AE41A-2DB0-4D59-ACE5-B871DCEBC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7" name="Picture 1166">
          <a:extLst>
            <a:ext uri="{FF2B5EF4-FFF2-40B4-BE49-F238E27FC236}">
              <a16:creationId xmlns:a16="http://schemas.microsoft.com/office/drawing/2014/main" id="{B124E9F3-A9F8-4BB0-95BD-A18820D54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8" name="Picture 1167">
          <a:extLst>
            <a:ext uri="{FF2B5EF4-FFF2-40B4-BE49-F238E27FC236}">
              <a16:creationId xmlns:a16="http://schemas.microsoft.com/office/drawing/2014/main" id="{096DEF8C-AE60-411E-AF5D-427A5DA0F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69" name="Picture 1168">
          <a:extLst>
            <a:ext uri="{FF2B5EF4-FFF2-40B4-BE49-F238E27FC236}">
              <a16:creationId xmlns:a16="http://schemas.microsoft.com/office/drawing/2014/main" id="{C02BA4F8-AE00-4DB5-AA82-6B6871108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0" name="Picture 1169">
          <a:extLst>
            <a:ext uri="{FF2B5EF4-FFF2-40B4-BE49-F238E27FC236}">
              <a16:creationId xmlns:a16="http://schemas.microsoft.com/office/drawing/2014/main" id="{18275126-0F37-4529-88FF-B711689ED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1" name="Picture 1170">
          <a:extLst>
            <a:ext uri="{FF2B5EF4-FFF2-40B4-BE49-F238E27FC236}">
              <a16:creationId xmlns:a16="http://schemas.microsoft.com/office/drawing/2014/main" id="{392F9A43-53C8-4AE0-B45E-E5D5E20DB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2" name="Picture 1171">
          <a:extLst>
            <a:ext uri="{FF2B5EF4-FFF2-40B4-BE49-F238E27FC236}">
              <a16:creationId xmlns:a16="http://schemas.microsoft.com/office/drawing/2014/main" id="{1B796B63-EC50-4A04-BD9F-6B698EF8D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3" name="Picture 1172">
          <a:extLst>
            <a:ext uri="{FF2B5EF4-FFF2-40B4-BE49-F238E27FC236}">
              <a16:creationId xmlns:a16="http://schemas.microsoft.com/office/drawing/2014/main" id="{8758B15C-895F-4E6B-A3A4-5B22CFA9D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4" name="Picture 1173">
          <a:extLst>
            <a:ext uri="{FF2B5EF4-FFF2-40B4-BE49-F238E27FC236}">
              <a16:creationId xmlns:a16="http://schemas.microsoft.com/office/drawing/2014/main" id="{227FE3F0-E289-486F-B209-7CF778909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5" name="Picture 1174">
          <a:extLst>
            <a:ext uri="{FF2B5EF4-FFF2-40B4-BE49-F238E27FC236}">
              <a16:creationId xmlns:a16="http://schemas.microsoft.com/office/drawing/2014/main" id="{207ED18F-F1A0-4EB0-85D4-83E6FCDC6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6" name="Picture 1175">
          <a:extLst>
            <a:ext uri="{FF2B5EF4-FFF2-40B4-BE49-F238E27FC236}">
              <a16:creationId xmlns:a16="http://schemas.microsoft.com/office/drawing/2014/main" id="{CFFE5FAE-9E48-494E-A61E-E8C76C5C8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7" name="Picture 1176">
          <a:extLst>
            <a:ext uri="{FF2B5EF4-FFF2-40B4-BE49-F238E27FC236}">
              <a16:creationId xmlns:a16="http://schemas.microsoft.com/office/drawing/2014/main" id="{9F497EBB-970B-4FB1-B107-DD7802240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8" name="Picture 1177">
          <a:extLst>
            <a:ext uri="{FF2B5EF4-FFF2-40B4-BE49-F238E27FC236}">
              <a16:creationId xmlns:a16="http://schemas.microsoft.com/office/drawing/2014/main" id="{EBEF89FC-FCEA-4ABF-8B14-4E6868F1A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79" name="Picture 1178">
          <a:extLst>
            <a:ext uri="{FF2B5EF4-FFF2-40B4-BE49-F238E27FC236}">
              <a16:creationId xmlns:a16="http://schemas.microsoft.com/office/drawing/2014/main" id="{61A60292-40CB-41FE-B5CF-55B96D94C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0" name="Picture 1179">
          <a:extLst>
            <a:ext uri="{FF2B5EF4-FFF2-40B4-BE49-F238E27FC236}">
              <a16:creationId xmlns:a16="http://schemas.microsoft.com/office/drawing/2014/main" id="{EDB2D3E7-5DA1-4A46-8CE8-F759E8463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1" name="Picture 1180">
          <a:extLst>
            <a:ext uri="{FF2B5EF4-FFF2-40B4-BE49-F238E27FC236}">
              <a16:creationId xmlns:a16="http://schemas.microsoft.com/office/drawing/2014/main" id="{686FB8D8-B86E-4FC0-8191-766EA1D7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2" name="Picture 1181">
          <a:extLst>
            <a:ext uri="{FF2B5EF4-FFF2-40B4-BE49-F238E27FC236}">
              <a16:creationId xmlns:a16="http://schemas.microsoft.com/office/drawing/2014/main" id="{F0E8E1EC-7799-4B0E-97AB-A8FFF42C9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3" name="Picture 1182">
          <a:extLst>
            <a:ext uri="{FF2B5EF4-FFF2-40B4-BE49-F238E27FC236}">
              <a16:creationId xmlns:a16="http://schemas.microsoft.com/office/drawing/2014/main" id="{336DEB5C-D711-41C6-8974-7277A82DF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4" name="Picture 1183">
          <a:extLst>
            <a:ext uri="{FF2B5EF4-FFF2-40B4-BE49-F238E27FC236}">
              <a16:creationId xmlns:a16="http://schemas.microsoft.com/office/drawing/2014/main" id="{929057CF-66D0-4CC2-9DBF-30AB9656C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5" name="Picture 1184">
          <a:extLst>
            <a:ext uri="{FF2B5EF4-FFF2-40B4-BE49-F238E27FC236}">
              <a16:creationId xmlns:a16="http://schemas.microsoft.com/office/drawing/2014/main" id="{43709CFF-70AE-4958-AA6E-48CD89269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6" name="Picture 1185">
          <a:extLst>
            <a:ext uri="{FF2B5EF4-FFF2-40B4-BE49-F238E27FC236}">
              <a16:creationId xmlns:a16="http://schemas.microsoft.com/office/drawing/2014/main" id="{D96A10E6-0A3F-4FC2-A9F0-097B13E4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7" name="Picture 1186">
          <a:extLst>
            <a:ext uri="{FF2B5EF4-FFF2-40B4-BE49-F238E27FC236}">
              <a16:creationId xmlns:a16="http://schemas.microsoft.com/office/drawing/2014/main" id="{94BC5298-506F-4F0A-ABB5-9BC4998D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8" name="Picture 1187">
          <a:extLst>
            <a:ext uri="{FF2B5EF4-FFF2-40B4-BE49-F238E27FC236}">
              <a16:creationId xmlns:a16="http://schemas.microsoft.com/office/drawing/2014/main" id="{872AC963-A90E-4348-8F95-2A01E704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89" name="Picture 1188">
          <a:extLst>
            <a:ext uri="{FF2B5EF4-FFF2-40B4-BE49-F238E27FC236}">
              <a16:creationId xmlns:a16="http://schemas.microsoft.com/office/drawing/2014/main" id="{C8FD3AD3-0DEB-49D2-ABD8-756D9471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0" name="Picture 1189">
          <a:extLst>
            <a:ext uri="{FF2B5EF4-FFF2-40B4-BE49-F238E27FC236}">
              <a16:creationId xmlns:a16="http://schemas.microsoft.com/office/drawing/2014/main" id="{15742BD1-8CC4-4097-931F-D25BF290F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1" name="Picture 1190">
          <a:extLst>
            <a:ext uri="{FF2B5EF4-FFF2-40B4-BE49-F238E27FC236}">
              <a16:creationId xmlns:a16="http://schemas.microsoft.com/office/drawing/2014/main" id="{1FAD137F-9751-4D2F-8EFF-CCEF75712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2" name="Picture 1191">
          <a:extLst>
            <a:ext uri="{FF2B5EF4-FFF2-40B4-BE49-F238E27FC236}">
              <a16:creationId xmlns:a16="http://schemas.microsoft.com/office/drawing/2014/main" id="{F9715E87-0EEB-4DE9-9562-E7FDA800C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3" name="Picture 1192">
          <a:extLst>
            <a:ext uri="{FF2B5EF4-FFF2-40B4-BE49-F238E27FC236}">
              <a16:creationId xmlns:a16="http://schemas.microsoft.com/office/drawing/2014/main" id="{40C8FEF3-4416-4153-B538-7F6092ECA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4" name="Picture 1193">
          <a:extLst>
            <a:ext uri="{FF2B5EF4-FFF2-40B4-BE49-F238E27FC236}">
              <a16:creationId xmlns:a16="http://schemas.microsoft.com/office/drawing/2014/main" id="{C62566FE-A4C9-4C96-955F-63440313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5" name="Picture 1194">
          <a:extLst>
            <a:ext uri="{FF2B5EF4-FFF2-40B4-BE49-F238E27FC236}">
              <a16:creationId xmlns:a16="http://schemas.microsoft.com/office/drawing/2014/main" id="{99F82F30-7679-4CE5-B982-A4FA54376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6" name="Picture 1195">
          <a:extLst>
            <a:ext uri="{FF2B5EF4-FFF2-40B4-BE49-F238E27FC236}">
              <a16:creationId xmlns:a16="http://schemas.microsoft.com/office/drawing/2014/main" id="{973EED25-028F-4487-9D3B-CF653DEF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7" name="Picture 1196">
          <a:extLst>
            <a:ext uri="{FF2B5EF4-FFF2-40B4-BE49-F238E27FC236}">
              <a16:creationId xmlns:a16="http://schemas.microsoft.com/office/drawing/2014/main" id="{C52E5973-2448-4191-9B64-2296ED056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8" name="Picture 1197">
          <a:extLst>
            <a:ext uri="{FF2B5EF4-FFF2-40B4-BE49-F238E27FC236}">
              <a16:creationId xmlns:a16="http://schemas.microsoft.com/office/drawing/2014/main" id="{28664B7C-C78A-415B-AC53-C35F9178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199" name="Picture 1198">
          <a:extLst>
            <a:ext uri="{FF2B5EF4-FFF2-40B4-BE49-F238E27FC236}">
              <a16:creationId xmlns:a16="http://schemas.microsoft.com/office/drawing/2014/main" id="{E2A6C0A4-6C27-4B09-AA3D-B1F4E6819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0" name="Picture 1199">
          <a:extLst>
            <a:ext uri="{FF2B5EF4-FFF2-40B4-BE49-F238E27FC236}">
              <a16:creationId xmlns:a16="http://schemas.microsoft.com/office/drawing/2014/main" id="{407E0B86-2C4D-4105-9F2D-CCD062F76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1" name="Picture 1200">
          <a:extLst>
            <a:ext uri="{FF2B5EF4-FFF2-40B4-BE49-F238E27FC236}">
              <a16:creationId xmlns:a16="http://schemas.microsoft.com/office/drawing/2014/main" id="{FF44D6C9-A914-4002-B6BE-9C9756B6C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2" name="Picture 1201">
          <a:extLst>
            <a:ext uri="{FF2B5EF4-FFF2-40B4-BE49-F238E27FC236}">
              <a16:creationId xmlns:a16="http://schemas.microsoft.com/office/drawing/2014/main" id="{677BC534-43A7-4B96-ABE5-80B5CDA50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3" name="Picture 1202">
          <a:extLst>
            <a:ext uri="{FF2B5EF4-FFF2-40B4-BE49-F238E27FC236}">
              <a16:creationId xmlns:a16="http://schemas.microsoft.com/office/drawing/2014/main" id="{3777E64B-F605-407D-B15D-328DDD137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4" name="Picture 1203">
          <a:extLst>
            <a:ext uri="{FF2B5EF4-FFF2-40B4-BE49-F238E27FC236}">
              <a16:creationId xmlns:a16="http://schemas.microsoft.com/office/drawing/2014/main" id="{07115ED8-6C4D-41DF-A644-9912E6698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5" name="Picture 1204">
          <a:extLst>
            <a:ext uri="{FF2B5EF4-FFF2-40B4-BE49-F238E27FC236}">
              <a16:creationId xmlns:a16="http://schemas.microsoft.com/office/drawing/2014/main" id="{8EE49113-BFDB-4F46-B7FA-7079D82A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6" name="Picture 1205">
          <a:extLst>
            <a:ext uri="{FF2B5EF4-FFF2-40B4-BE49-F238E27FC236}">
              <a16:creationId xmlns:a16="http://schemas.microsoft.com/office/drawing/2014/main" id="{F489ED34-3547-4938-9D67-390778D89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7" name="Picture 1206">
          <a:extLst>
            <a:ext uri="{FF2B5EF4-FFF2-40B4-BE49-F238E27FC236}">
              <a16:creationId xmlns:a16="http://schemas.microsoft.com/office/drawing/2014/main" id="{AE72C261-9EB2-4F80-85EB-7C96105CE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8" name="Picture 1207">
          <a:extLst>
            <a:ext uri="{FF2B5EF4-FFF2-40B4-BE49-F238E27FC236}">
              <a16:creationId xmlns:a16="http://schemas.microsoft.com/office/drawing/2014/main" id="{8ABD6A7B-501D-465D-8C99-EEF802266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09" name="Picture 1208">
          <a:extLst>
            <a:ext uri="{FF2B5EF4-FFF2-40B4-BE49-F238E27FC236}">
              <a16:creationId xmlns:a16="http://schemas.microsoft.com/office/drawing/2014/main" id="{5E6B7D14-C70A-4864-AFC0-AC9FC64A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0" name="Picture 1209">
          <a:extLst>
            <a:ext uri="{FF2B5EF4-FFF2-40B4-BE49-F238E27FC236}">
              <a16:creationId xmlns:a16="http://schemas.microsoft.com/office/drawing/2014/main" id="{DC443957-DF1D-488C-AB97-B9F553E1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1" name="Picture 1210">
          <a:extLst>
            <a:ext uri="{FF2B5EF4-FFF2-40B4-BE49-F238E27FC236}">
              <a16:creationId xmlns:a16="http://schemas.microsoft.com/office/drawing/2014/main" id="{2F5AEF39-EF92-4799-BBFF-B20365003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2" name="Picture 1211">
          <a:extLst>
            <a:ext uri="{FF2B5EF4-FFF2-40B4-BE49-F238E27FC236}">
              <a16:creationId xmlns:a16="http://schemas.microsoft.com/office/drawing/2014/main" id="{3364DFF1-FD66-42AC-926A-16DEEBBC3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3" name="Picture 1212">
          <a:extLst>
            <a:ext uri="{FF2B5EF4-FFF2-40B4-BE49-F238E27FC236}">
              <a16:creationId xmlns:a16="http://schemas.microsoft.com/office/drawing/2014/main" id="{70B455A9-D9A6-49BE-9161-E391FD0C3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4" name="Picture 1213">
          <a:extLst>
            <a:ext uri="{FF2B5EF4-FFF2-40B4-BE49-F238E27FC236}">
              <a16:creationId xmlns:a16="http://schemas.microsoft.com/office/drawing/2014/main" id="{A19F9407-20AE-43FC-8202-6E34FA610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5" name="Picture 1214">
          <a:extLst>
            <a:ext uri="{FF2B5EF4-FFF2-40B4-BE49-F238E27FC236}">
              <a16:creationId xmlns:a16="http://schemas.microsoft.com/office/drawing/2014/main" id="{5788B159-E6F1-4C21-B853-4A8933BC5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6" name="Picture 1215">
          <a:extLst>
            <a:ext uri="{FF2B5EF4-FFF2-40B4-BE49-F238E27FC236}">
              <a16:creationId xmlns:a16="http://schemas.microsoft.com/office/drawing/2014/main" id="{3FBA75BD-4297-4296-8DEA-6F41EBC36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7" name="Picture 1216">
          <a:extLst>
            <a:ext uri="{FF2B5EF4-FFF2-40B4-BE49-F238E27FC236}">
              <a16:creationId xmlns:a16="http://schemas.microsoft.com/office/drawing/2014/main" id="{6C5A7B8A-B553-43EA-8662-B3BCFF540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8" name="Picture 1217">
          <a:extLst>
            <a:ext uri="{FF2B5EF4-FFF2-40B4-BE49-F238E27FC236}">
              <a16:creationId xmlns:a16="http://schemas.microsoft.com/office/drawing/2014/main" id="{81C7351A-02F6-45F2-BD9D-5BF72F13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19" name="Picture 1218">
          <a:extLst>
            <a:ext uri="{FF2B5EF4-FFF2-40B4-BE49-F238E27FC236}">
              <a16:creationId xmlns:a16="http://schemas.microsoft.com/office/drawing/2014/main" id="{563570A3-0FB6-4F2D-96CB-07FDB81C5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0" name="Picture 1219">
          <a:extLst>
            <a:ext uri="{FF2B5EF4-FFF2-40B4-BE49-F238E27FC236}">
              <a16:creationId xmlns:a16="http://schemas.microsoft.com/office/drawing/2014/main" id="{8BDDFDEF-9479-4674-B164-19BF828BA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1" name="Picture 1220">
          <a:extLst>
            <a:ext uri="{FF2B5EF4-FFF2-40B4-BE49-F238E27FC236}">
              <a16:creationId xmlns:a16="http://schemas.microsoft.com/office/drawing/2014/main" id="{9ED3E33E-20B1-490A-A579-7E4A8FA76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2" name="Picture 1221">
          <a:extLst>
            <a:ext uri="{FF2B5EF4-FFF2-40B4-BE49-F238E27FC236}">
              <a16:creationId xmlns:a16="http://schemas.microsoft.com/office/drawing/2014/main" id="{F04B151A-AE26-4762-94DB-CE8EB20F1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3" name="Picture 1222">
          <a:extLst>
            <a:ext uri="{FF2B5EF4-FFF2-40B4-BE49-F238E27FC236}">
              <a16:creationId xmlns:a16="http://schemas.microsoft.com/office/drawing/2014/main" id="{760592A7-CE1A-479D-A28E-2AFD3464B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4" name="Picture 1223">
          <a:extLst>
            <a:ext uri="{FF2B5EF4-FFF2-40B4-BE49-F238E27FC236}">
              <a16:creationId xmlns:a16="http://schemas.microsoft.com/office/drawing/2014/main" id="{C83C1F7E-2326-4277-B7F9-6171D4E6D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5" name="Picture 1224">
          <a:extLst>
            <a:ext uri="{FF2B5EF4-FFF2-40B4-BE49-F238E27FC236}">
              <a16:creationId xmlns:a16="http://schemas.microsoft.com/office/drawing/2014/main" id="{29C59106-729F-4258-8401-C03FBD7AE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6" name="Picture 1225">
          <a:extLst>
            <a:ext uri="{FF2B5EF4-FFF2-40B4-BE49-F238E27FC236}">
              <a16:creationId xmlns:a16="http://schemas.microsoft.com/office/drawing/2014/main" id="{4C54599E-644B-4461-9CCD-AAC1B7C83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7" name="Picture 1226">
          <a:extLst>
            <a:ext uri="{FF2B5EF4-FFF2-40B4-BE49-F238E27FC236}">
              <a16:creationId xmlns:a16="http://schemas.microsoft.com/office/drawing/2014/main" id="{90162522-B249-4958-AF1B-CCBC13AA2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8" name="Picture 1227">
          <a:extLst>
            <a:ext uri="{FF2B5EF4-FFF2-40B4-BE49-F238E27FC236}">
              <a16:creationId xmlns:a16="http://schemas.microsoft.com/office/drawing/2014/main" id="{C4BC357B-B60F-45EC-9435-11AF60680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29" name="Picture 1228">
          <a:extLst>
            <a:ext uri="{FF2B5EF4-FFF2-40B4-BE49-F238E27FC236}">
              <a16:creationId xmlns:a16="http://schemas.microsoft.com/office/drawing/2014/main" id="{DE1683C3-7BFC-4017-8DF5-0E23A6C2F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0" name="Picture 1229">
          <a:extLst>
            <a:ext uri="{FF2B5EF4-FFF2-40B4-BE49-F238E27FC236}">
              <a16:creationId xmlns:a16="http://schemas.microsoft.com/office/drawing/2014/main" id="{923B19EE-3A30-48F3-BA4F-D78B1DB72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1" name="Picture 1230">
          <a:extLst>
            <a:ext uri="{FF2B5EF4-FFF2-40B4-BE49-F238E27FC236}">
              <a16:creationId xmlns:a16="http://schemas.microsoft.com/office/drawing/2014/main" id="{E15CA0C8-61AE-49A4-8FDF-744B71B7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2" name="Picture 1231">
          <a:extLst>
            <a:ext uri="{FF2B5EF4-FFF2-40B4-BE49-F238E27FC236}">
              <a16:creationId xmlns:a16="http://schemas.microsoft.com/office/drawing/2014/main" id="{7B2371ED-38E1-4276-B9CF-393805E0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3" name="Picture 1232">
          <a:extLst>
            <a:ext uri="{FF2B5EF4-FFF2-40B4-BE49-F238E27FC236}">
              <a16:creationId xmlns:a16="http://schemas.microsoft.com/office/drawing/2014/main" id="{085011B6-A86B-404F-B8C8-993BAE0FC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4" name="Picture 1233">
          <a:extLst>
            <a:ext uri="{FF2B5EF4-FFF2-40B4-BE49-F238E27FC236}">
              <a16:creationId xmlns:a16="http://schemas.microsoft.com/office/drawing/2014/main" id="{7D30AFA8-1167-41C7-B9D3-8176EDDD8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5" name="Picture 1234">
          <a:extLst>
            <a:ext uri="{FF2B5EF4-FFF2-40B4-BE49-F238E27FC236}">
              <a16:creationId xmlns:a16="http://schemas.microsoft.com/office/drawing/2014/main" id="{D9820E05-D7FF-4496-876C-4F6ACDF32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6" name="Picture 1235">
          <a:extLst>
            <a:ext uri="{FF2B5EF4-FFF2-40B4-BE49-F238E27FC236}">
              <a16:creationId xmlns:a16="http://schemas.microsoft.com/office/drawing/2014/main" id="{8D3DCE07-06D1-4B18-BCEA-C6AB6D58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7" name="Picture 1236">
          <a:extLst>
            <a:ext uri="{FF2B5EF4-FFF2-40B4-BE49-F238E27FC236}">
              <a16:creationId xmlns:a16="http://schemas.microsoft.com/office/drawing/2014/main" id="{F60837A6-99E3-4175-9E35-E303BFB09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8" name="Picture 1237">
          <a:extLst>
            <a:ext uri="{FF2B5EF4-FFF2-40B4-BE49-F238E27FC236}">
              <a16:creationId xmlns:a16="http://schemas.microsoft.com/office/drawing/2014/main" id="{ECFA25AE-C3B5-47EB-A008-CCF101CCA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39" name="Picture 1238">
          <a:extLst>
            <a:ext uri="{FF2B5EF4-FFF2-40B4-BE49-F238E27FC236}">
              <a16:creationId xmlns:a16="http://schemas.microsoft.com/office/drawing/2014/main" id="{63064765-7100-47B5-B557-528B61119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0" name="Picture 1239">
          <a:extLst>
            <a:ext uri="{FF2B5EF4-FFF2-40B4-BE49-F238E27FC236}">
              <a16:creationId xmlns:a16="http://schemas.microsoft.com/office/drawing/2014/main" id="{C7B1C98C-CB08-41C2-8576-FEFC3894F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1" name="Picture 1240">
          <a:extLst>
            <a:ext uri="{FF2B5EF4-FFF2-40B4-BE49-F238E27FC236}">
              <a16:creationId xmlns:a16="http://schemas.microsoft.com/office/drawing/2014/main" id="{DBEE0A2A-D597-4E9F-854B-78F077D07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2" name="Picture 1241">
          <a:extLst>
            <a:ext uri="{FF2B5EF4-FFF2-40B4-BE49-F238E27FC236}">
              <a16:creationId xmlns:a16="http://schemas.microsoft.com/office/drawing/2014/main" id="{CE861438-9F1C-429C-B7CF-60976BD0A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3" name="Picture 1242">
          <a:extLst>
            <a:ext uri="{FF2B5EF4-FFF2-40B4-BE49-F238E27FC236}">
              <a16:creationId xmlns:a16="http://schemas.microsoft.com/office/drawing/2014/main" id="{21A74FE3-439D-48DE-93F9-99594CA0A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4" name="Picture 1243">
          <a:extLst>
            <a:ext uri="{FF2B5EF4-FFF2-40B4-BE49-F238E27FC236}">
              <a16:creationId xmlns:a16="http://schemas.microsoft.com/office/drawing/2014/main" id="{F7C57425-A8B5-496E-8040-459BE07D7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5" name="Picture 1244">
          <a:extLst>
            <a:ext uri="{FF2B5EF4-FFF2-40B4-BE49-F238E27FC236}">
              <a16:creationId xmlns:a16="http://schemas.microsoft.com/office/drawing/2014/main" id="{34E0060E-F49C-4F28-9EB5-EBA858170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6" name="Picture 1245">
          <a:extLst>
            <a:ext uri="{FF2B5EF4-FFF2-40B4-BE49-F238E27FC236}">
              <a16:creationId xmlns:a16="http://schemas.microsoft.com/office/drawing/2014/main" id="{C52EEB37-2EFB-43E6-8645-3850441C3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7" name="Picture 1246">
          <a:extLst>
            <a:ext uri="{FF2B5EF4-FFF2-40B4-BE49-F238E27FC236}">
              <a16:creationId xmlns:a16="http://schemas.microsoft.com/office/drawing/2014/main" id="{D01C80EA-A1D4-4E46-A3E2-B8FA07370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8" name="Picture 1247">
          <a:extLst>
            <a:ext uri="{FF2B5EF4-FFF2-40B4-BE49-F238E27FC236}">
              <a16:creationId xmlns:a16="http://schemas.microsoft.com/office/drawing/2014/main" id="{9810958B-7FBA-4481-9AC4-D9950B39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49" name="Picture 1248">
          <a:extLst>
            <a:ext uri="{FF2B5EF4-FFF2-40B4-BE49-F238E27FC236}">
              <a16:creationId xmlns:a16="http://schemas.microsoft.com/office/drawing/2014/main" id="{B9921C21-66CC-4ECC-9FC2-798E33226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0" name="Picture 1249">
          <a:extLst>
            <a:ext uri="{FF2B5EF4-FFF2-40B4-BE49-F238E27FC236}">
              <a16:creationId xmlns:a16="http://schemas.microsoft.com/office/drawing/2014/main" id="{0E8021D6-9C58-43C9-8EE1-A607DFAB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1" name="Picture 1250">
          <a:extLst>
            <a:ext uri="{FF2B5EF4-FFF2-40B4-BE49-F238E27FC236}">
              <a16:creationId xmlns:a16="http://schemas.microsoft.com/office/drawing/2014/main" id="{70F95DAA-0DF7-43E7-827A-5E9C7CE6D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2" name="Picture 1251">
          <a:extLst>
            <a:ext uri="{FF2B5EF4-FFF2-40B4-BE49-F238E27FC236}">
              <a16:creationId xmlns:a16="http://schemas.microsoft.com/office/drawing/2014/main" id="{E3B89A15-DC77-40C0-A2DA-89D5FE383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3" name="Picture 1252">
          <a:extLst>
            <a:ext uri="{FF2B5EF4-FFF2-40B4-BE49-F238E27FC236}">
              <a16:creationId xmlns:a16="http://schemas.microsoft.com/office/drawing/2014/main" id="{9C69806A-689D-4DDE-8F4C-C3E00A05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4" name="Picture 1253">
          <a:extLst>
            <a:ext uri="{FF2B5EF4-FFF2-40B4-BE49-F238E27FC236}">
              <a16:creationId xmlns:a16="http://schemas.microsoft.com/office/drawing/2014/main" id="{9618496E-E577-49E6-B177-F0881E0A3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5" name="Picture 1254">
          <a:extLst>
            <a:ext uri="{FF2B5EF4-FFF2-40B4-BE49-F238E27FC236}">
              <a16:creationId xmlns:a16="http://schemas.microsoft.com/office/drawing/2014/main" id="{BDF1B51B-739B-455D-9E98-361CD2616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6" name="Picture 1255">
          <a:extLst>
            <a:ext uri="{FF2B5EF4-FFF2-40B4-BE49-F238E27FC236}">
              <a16:creationId xmlns:a16="http://schemas.microsoft.com/office/drawing/2014/main" id="{CD31B427-FDA7-4BB8-9216-9F3418BF5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7" name="Picture 1256">
          <a:extLst>
            <a:ext uri="{FF2B5EF4-FFF2-40B4-BE49-F238E27FC236}">
              <a16:creationId xmlns:a16="http://schemas.microsoft.com/office/drawing/2014/main" id="{DBDD996F-8D01-4E6D-8EE4-5F1868F1E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8" name="Picture 1257">
          <a:extLst>
            <a:ext uri="{FF2B5EF4-FFF2-40B4-BE49-F238E27FC236}">
              <a16:creationId xmlns:a16="http://schemas.microsoft.com/office/drawing/2014/main" id="{374F6FEE-B045-4EA8-BF7F-6B5CACDAA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59" name="Picture 1258">
          <a:extLst>
            <a:ext uri="{FF2B5EF4-FFF2-40B4-BE49-F238E27FC236}">
              <a16:creationId xmlns:a16="http://schemas.microsoft.com/office/drawing/2014/main" id="{76B99FA0-2B79-4DAE-B43A-18BD00810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0" name="Picture 1259">
          <a:extLst>
            <a:ext uri="{FF2B5EF4-FFF2-40B4-BE49-F238E27FC236}">
              <a16:creationId xmlns:a16="http://schemas.microsoft.com/office/drawing/2014/main" id="{CC61B4F6-7231-4B65-8C92-8AB3B544C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1" name="Picture 1260">
          <a:extLst>
            <a:ext uri="{FF2B5EF4-FFF2-40B4-BE49-F238E27FC236}">
              <a16:creationId xmlns:a16="http://schemas.microsoft.com/office/drawing/2014/main" id="{0BF09123-BB46-43E7-936C-DDA95D85A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2" name="Picture 1261">
          <a:extLst>
            <a:ext uri="{FF2B5EF4-FFF2-40B4-BE49-F238E27FC236}">
              <a16:creationId xmlns:a16="http://schemas.microsoft.com/office/drawing/2014/main" id="{5C201DE8-DC61-4D5F-8178-06BAD914D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3" name="Picture 1262">
          <a:extLst>
            <a:ext uri="{FF2B5EF4-FFF2-40B4-BE49-F238E27FC236}">
              <a16:creationId xmlns:a16="http://schemas.microsoft.com/office/drawing/2014/main" id="{B83D09CF-FACE-4E58-B557-3AE8646C7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4" name="Picture 1263">
          <a:extLst>
            <a:ext uri="{FF2B5EF4-FFF2-40B4-BE49-F238E27FC236}">
              <a16:creationId xmlns:a16="http://schemas.microsoft.com/office/drawing/2014/main" id="{34123610-9C4F-4503-AABD-5451382D5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5" name="Picture 1264">
          <a:extLst>
            <a:ext uri="{FF2B5EF4-FFF2-40B4-BE49-F238E27FC236}">
              <a16:creationId xmlns:a16="http://schemas.microsoft.com/office/drawing/2014/main" id="{6D4FB573-1153-4575-AB6F-91FE3A462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6" name="Picture 1265">
          <a:extLst>
            <a:ext uri="{FF2B5EF4-FFF2-40B4-BE49-F238E27FC236}">
              <a16:creationId xmlns:a16="http://schemas.microsoft.com/office/drawing/2014/main" id="{79D4A140-1F3E-469F-B554-9DC6CDDD0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7" name="Picture 1266">
          <a:extLst>
            <a:ext uri="{FF2B5EF4-FFF2-40B4-BE49-F238E27FC236}">
              <a16:creationId xmlns:a16="http://schemas.microsoft.com/office/drawing/2014/main" id="{2DCE64C2-A430-4E96-BFAC-AE3E22E37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8" name="Picture 1267">
          <a:extLst>
            <a:ext uri="{FF2B5EF4-FFF2-40B4-BE49-F238E27FC236}">
              <a16:creationId xmlns:a16="http://schemas.microsoft.com/office/drawing/2014/main" id="{FC8AF81E-5471-4AD1-BB77-43AD4F7F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69" name="Picture 1268">
          <a:extLst>
            <a:ext uri="{FF2B5EF4-FFF2-40B4-BE49-F238E27FC236}">
              <a16:creationId xmlns:a16="http://schemas.microsoft.com/office/drawing/2014/main" id="{8DAEEE21-D52E-498B-9B5B-9E80E8D69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0" name="Picture 1269">
          <a:extLst>
            <a:ext uri="{FF2B5EF4-FFF2-40B4-BE49-F238E27FC236}">
              <a16:creationId xmlns:a16="http://schemas.microsoft.com/office/drawing/2014/main" id="{3B521FAA-41C2-48EB-8871-27A3FFFC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1" name="Picture 1270">
          <a:extLst>
            <a:ext uri="{FF2B5EF4-FFF2-40B4-BE49-F238E27FC236}">
              <a16:creationId xmlns:a16="http://schemas.microsoft.com/office/drawing/2014/main" id="{ADDA5E7C-7C8F-4994-9AE9-4CB5B81C7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2" name="Picture 1271">
          <a:extLst>
            <a:ext uri="{FF2B5EF4-FFF2-40B4-BE49-F238E27FC236}">
              <a16:creationId xmlns:a16="http://schemas.microsoft.com/office/drawing/2014/main" id="{314F189A-1EBB-426F-8A1C-8B40F5587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3" name="Picture 1272">
          <a:extLst>
            <a:ext uri="{FF2B5EF4-FFF2-40B4-BE49-F238E27FC236}">
              <a16:creationId xmlns:a16="http://schemas.microsoft.com/office/drawing/2014/main" id="{EC96C538-A454-452C-A00A-E04FFB64A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4" name="Picture 1273">
          <a:extLst>
            <a:ext uri="{FF2B5EF4-FFF2-40B4-BE49-F238E27FC236}">
              <a16:creationId xmlns:a16="http://schemas.microsoft.com/office/drawing/2014/main" id="{CA42C23C-9C59-4D8E-BB72-BF7B66855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5" name="Picture 1274">
          <a:extLst>
            <a:ext uri="{FF2B5EF4-FFF2-40B4-BE49-F238E27FC236}">
              <a16:creationId xmlns:a16="http://schemas.microsoft.com/office/drawing/2014/main" id="{7AEB5A9A-E2E7-4639-8068-189CF6B5E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6" name="Picture 1275">
          <a:extLst>
            <a:ext uri="{FF2B5EF4-FFF2-40B4-BE49-F238E27FC236}">
              <a16:creationId xmlns:a16="http://schemas.microsoft.com/office/drawing/2014/main" id="{ACEA16BB-0760-4D70-9AC7-48D4F7040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7" name="Picture 1276">
          <a:extLst>
            <a:ext uri="{FF2B5EF4-FFF2-40B4-BE49-F238E27FC236}">
              <a16:creationId xmlns:a16="http://schemas.microsoft.com/office/drawing/2014/main" id="{F295B760-7654-48E5-B62A-1A7C9B79B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8" name="Picture 1277">
          <a:extLst>
            <a:ext uri="{FF2B5EF4-FFF2-40B4-BE49-F238E27FC236}">
              <a16:creationId xmlns:a16="http://schemas.microsoft.com/office/drawing/2014/main" id="{AFFF1051-C499-4DE2-8215-82FB761A3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79" name="Picture 1278">
          <a:extLst>
            <a:ext uri="{FF2B5EF4-FFF2-40B4-BE49-F238E27FC236}">
              <a16:creationId xmlns:a16="http://schemas.microsoft.com/office/drawing/2014/main" id="{E2F3D201-85AC-4FC7-93F7-9487DF772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0" name="Picture 1279">
          <a:extLst>
            <a:ext uri="{FF2B5EF4-FFF2-40B4-BE49-F238E27FC236}">
              <a16:creationId xmlns:a16="http://schemas.microsoft.com/office/drawing/2014/main" id="{3A19D6F2-3BDF-4FC7-A58E-2400BE34C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1" name="Picture 1280">
          <a:extLst>
            <a:ext uri="{FF2B5EF4-FFF2-40B4-BE49-F238E27FC236}">
              <a16:creationId xmlns:a16="http://schemas.microsoft.com/office/drawing/2014/main" id="{C046BAC4-0455-40A3-9EC6-1894FD52B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2" name="Picture 1281">
          <a:extLst>
            <a:ext uri="{FF2B5EF4-FFF2-40B4-BE49-F238E27FC236}">
              <a16:creationId xmlns:a16="http://schemas.microsoft.com/office/drawing/2014/main" id="{B627067C-09F1-4AA9-A747-5808FA138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3" name="Picture 1282">
          <a:extLst>
            <a:ext uri="{FF2B5EF4-FFF2-40B4-BE49-F238E27FC236}">
              <a16:creationId xmlns:a16="http://schemas.microsoft.com/office/drawing/2014/main" id="{E509D331-9E2D-463E-84BE-059742F2B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4" name="Picture 1283">
          <a:extLst>
            <a:ext uri="{FF2B5EF4-FFF2-40B4-BE49-F238E27FC236}">
              <a16:creationId xmlns:a16="http://schemas.microsoft.com/office/drawing/2014/main" id="{27ED54D2-B8C7-4734-B745-468C114B5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5" name="Picture 1284">
          <a:extLst>
            <a:ext uri="{FF2B5EF4-FFF2-40B4-BE49-F238E27FC236}">
              <a16:creationId xmlns:a16="http://schemas.microsoft.com/office/drawing/2014/main" id="{FF29BD1C-018D-4890-B985-D2F8BBEC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6" name="Picture 1285">
          <a:extLst>
            <a:ext uri="{FF2B5EF4-FFF2-40B4-BE49-F238E27FC236}">
              <a16:creationId xmlns:a16="http://schemas.microsoft.com/office/drawing/2014/main" id="{D866EBF1-61C5-4A8B-9B1C-464CF4D7D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7" name="Picture 1286">
          <a:extLst>
            <a:ext uri="{FF2B5EF4-FFF2-40B4-BE49-F238E27FC236}">
              <a16:creationId xmlns:a16="http://schemas.microsoft.com/office/drawing/2014/main" id="{EF000290-30AF-405B-8DAE-84B3F2603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8" name="Picture 1287">
          <a:extLst>
            <a:ext uri="{FF2B5EF4-FFF2-40B4-BE49-F238E27FC236}">
              <a16:creationId xmlns:a16="http://schemas.microsoft.com/office/drawing/2014/main" id="{580EE55B-615B-47D1-947B-C7FA5F73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89" name="Picture 1288">
          <a:extLst>
            <a:ext uri="{FF2B5EF4-FFF2-40B4-BE49-F238E27FC236}">
              <a16:creationId xmlns:a16="http://schemas.microsoft.com/office/drawing/2014/main" id="{E9133725-C887-4354-BA98-56AAFB130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0" name="Picture 1289">
          <a:extLst>
            <a:ext uri="{FF2B5EF4-FFF2-40B4-BE49-F238E27FC236}">
              <a16:creationId xmlns:a16="http://schemas.microsoft.com/office/drawing/2014/main" id="{F6B81A95-8929-4B5C-9B04-FE38AE3B7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1" name="Picture 1290">
          <a:extLst>
            <a:ext uri="{FF2B5EF4-FFF2-40B4-BE49-F238E27FC236}">
              <a16:creationId xmlns:a16="http://schemas.microsoft.com/office/drawing/2014/main" id="{AE6A1A71-1977-4CFA-9120-3BF213675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2" name="Picture 1291">
          <a:extLst>
            <a:ext uri="{FF2B5EF4-FFF2-40B4-BE49-F238E27FC236}">
              <a16:creationId xmlns:a16="http://schemas.microsoft.com/office/drawing/2014/main" id="{93F074BB-5999-4982-850C-4C8CCB90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3" name="Picture 1292">
          <a:extLst>
            <a:ext uri="{FF2B5EF4-FFF2-40B4-BE49-F238E27FC236}">
              <a16:creationId xmlns:a16="http://schemas.microsoft.com/office/drawing/2014/main" id="{B10BDB34-B42C-4257-AA70-022424D1E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4" name="Picture 1293">
          <a:extLst>
            <a:ext uri="{FF2B5EF4-FFF2-40B4-BE49-F238E27FC236}">
              <a16:creationId xmlns:a16="http://schemas.microsoft.com/office/drawing/2014/main" id="{65BF775B-8A65-4FE5-8CB6-6535631AC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5" name="Picture 1294">
          <a:extLst>
            <a:ext uri="{FF2B5EF4-FFF2-40B4-BE49-F238E27FC236}">
              <a16:creationId xmlns:a16="http://schemas.microsoft.com/office/drawing/2014/main" id="{863CC268-B563-472D-893A-4ACD5347F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6" name="Picture 1295">
          <a:extLst>
            <a:ext uri="{FF2B5EF4-FFF2-40B4-BE49-F238E27FC236}">
              <a16:creationId xmlns:a16="http://schemas.microsoft.com/office/drawing/2014/main" id="{A47F5DE5-F3AD-45C0-B8FA-8363044E5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7" name="Picture 1296">
          <a:extLst>
            <a:ext uri="{FF2B5EF4-FFF2-40B4-BE49-F238E27FC236}">
              <a16:creationId xmlns:a16="http://schemas.microsoft.com/office/drawing/2014/main" id="{27334E16-8C64-496B-A12B-6DAF91D4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8" name="Picture 1297">
          <a:extLst>
            <a:ext uri="{FF2B5EF4-FFF2-40B4-BE49-F238E27FC236}">
              <a16:creationId xmlns:a16="http://schemas.microsoft.com/office/drawing/2014/main" id="{B369D780-7142-47F3-9F77-B43E18C9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299" name="Picture 1298">
          <a:extLst>
            <a:ext uri="{FF2B5EF4-FFF2-40B4-BE49-F238E27FC236}">
              <a16:creationId xmlns:a16="http://schemas.microsoft.com/office/drawing/2014/main" id="{13C06F52-9D9A-4D07-842C-64B69B270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0" name="Picture 1299">
          <a:extLst>
            <a:ext uri="{FF2B5EF4-FFF2-40B4-BE49-F238E27FC236}">
              <a16:creationId xmlns:a16="http://schemas.microsoft.com/office/drawing/2014/main" id="{25E7F1BB-89AB-4231-BF3C-45D7E1AF0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1" name="Picture 1300">
          <a:extLst>
            <a:ext uri="{FF2B5EF4-FFF2-40B4-BE49-F238E27FC236}">
              <a16:creationId xmlns:a16="http://schemas.microsoft.com/office/drawing/2014/main" id="{BE71DC1E-14BD-4682-9D94-D3E0246F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2" name="Picture 1301">
          <a:extLst>
            <a:ext uri="{FF2B5EF4-FFF2-40B4-BE49-F238E27FC236}">
              <a16:creationId xmlns:a16="http://schemas.microsoft.com/office/drawing/2014/main" id="{1BC4C19E-B063-4E0D-958E-B63DDA814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3" name="Picture 1302">
          <a:extLst>
            <a:ext uri="{FF2B5EF4-FFF2-40B4-BE49-F238E27FC236}">
              <a16:creationId xmlns:a16="http://schemas.microsoft.com/office/drawing/2014/main" id="{DAFB72B0-B51B-45D5-BDB8-436E0711B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4" name="Picture 1303">
          <a:extLst>
            <a:ext uri="{FF2B5EF4-FFF2-40B4-BE49-F238E27FC236}">
              <a16:creationId xmlns:a16="http://schemas.microsoft.com/office/drawing/2014/main" id="{2C846980-5822-4AF2-8DEC-41E18BA13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5" name="Picture 1304">
          <a:extLst>
            <a:ext uri="{FF2B5EF4-FFF2-40B4-BE49-F238E27FC236}">
              <a16:creationId xmlns:a16="http://schemas.microsoft.com/office/drawing/2014/main" id="{FE1CB6C7-02A1-4096-8283-79B2DD70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6" name="Picture 1305">
          <a:extLst>
            <a:ext uri="{FF2B5EF4-FFF2-40B4-BE49-F238E27FC236}">
              <a16:creationId xmlns:a16="http://schemas.microsoft.com/office/drawing/2014/main" id="{7123B4FF-2979-49A4-BC0E-6C9DC9981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7" name="Picture 1306">
          <a:extLst>
            <a:ext uri="{FF2B5EF4-FFF2-40B4-BE49-F238E27FC236}">
              <a16:creationId xmlns:a16="http://schemas.microsoft.com/office/drawing/2014/main" id="{65F86774-D229-41A4-BA30-F745E7719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8" name="Picture 1307">
          <a:extLst>
            <a:ext uri="{FF2B5EF4-FFF2-40B4-BE49-F238E27FC236}">
              <a16:creationId xmlns:a16="http://schemas.microsoft.com/office/drawing/2014/main" id="{746818C7-2D0C-48B2-8452-889C2A6CF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09" name="Picture 1308">
          <a:extLst>
            <a:ext uri="{FF2B5EF4-FFF2-40B4-BE49-F238E27FC236}">
              <a16:creationId xmlns:a16="http://schemas.microsoft.com/office/drawing/2014/main" id="{69A72EA5-08EB-4437-A298-2553C9C67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0" name="Picture 1309">
          <a:extLst>
            <a:ext uri="{FF2B5EF4-FFF2-40B4-BE49-F238E27FC236}">
              <a16:creationId xmlns:a16="http://schemas.microsoft.com/office/drawing/2014/main" id="{3A2C535F-A533-48AF-8AA0-826072B7C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1" name="Picture 1310">
          <a:extLst>
            <a:ext uri="{FF2B5EF4-FFF2-40B4-BE49-F238E27FC236}">
              <a16:creationId xmlns:a16="http://schemas.microsoft.com/office/drawing/2014/main" id="{C0BFA71C-62A6-4FF9-8277-B3FAD8268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2" name="Picture 1311">
          <a:extLst>
            <a:ext uri="{FF2B5EF4-FFF2-40B4-BE49-F238E27FC236}">
              <a16:creationId xmlns:a16="http://schemas.microsoft.com/office/drawing/2014/main" id="{13508A58-0B84-4498-A40E-76B0C52B9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3" name="Picture 1312">
          <a:extLst>
            <a:ext uri="{FF2B5EF4-FFF2-40B4-BE49-F238E27FC236}">
              <a16:creationId xmlns:a16="http://schemas.microsoft.com/office/drawing/2014/main" id="{176A9726-D7D3-4D7A-A067-9C84D9B3A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4" name="Picture 1313">
          <a:extLst>
            <a:ext uri="{FF2B5EF4-FFF2-40B4-BE49-F238E27FC236}">
              <a16:creationId xmlns:a16="http://schemas.microsoft.com/office/drawing/2014/main" id="{4E7A30A5-A7BF-47A8-AF1E-05EE8696D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5" name="Picture 1314">
          <a:extLst>
            <a:ext uri="{FF2B5EF4-FFF2-40B4-BE49-F238E27FC236}">
              <a16:creationId xmlns:a16="http://schemas.microsoft.com/office/drawing/2014/main" id="{EC15B0A6-B7E8-4A78-8A13-D17CD227F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6" name="Picture 1315">
          <a:extLst>
            <a:ext uri="{FF2B5EF4-FFF2-40B4-BE49-F238E27FC236}">
              <a16:creationId xmlns:a16="http://schemas.microsoft.com/office/drawing/2014/main" id="{17668481-C883-434F-A174-08738820C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7" name="Picture 1316">
          <a:extLst>
            <a:ext uri="{FF2B5EF4-FFF2-40B4-BE49-F238E27FC236}">
              <a16:creationId xmlns:a16="http://schemas.microsoft.com/office/drawing/2014/main" id="{5C9E456A-7265-478A-A67C-D65D1AB8E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8" name="Picture 1317">
          <a:extLst>
            <a:ext uri="{FF2B5EF4-FFF2-40B4-BE49-F238E27FC236}">
              <a16:creationId xmlns:a16="http://schemas.microsoft.com/office/drawing/2014/main" id="{40D30439-3A9E-4E7D-B6AD-D0CE94F3B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19" name="Picture 1318">
          <a:extLst>
            <a:ext uri="{FF2B5EF4-FFF2-40B4-BE49-F238E27FC236}">
              <a16:creationId xmlns:a16="http://schemas.microsoft.com/office/drawing/2014/main" id="{5495C2AA-F376-44D8-8800-E9688358E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0" name="Picture 1319">
          <a:extLst>
            <a:ext uri="{FF2B5EF4-FFF2-40B4-BE49-F238E27FC236}">
              <a16:creationId xmlns:a16="http://schemas.microsoft.com/office/drawing/2014/main" id="{6D6615F5-1313-4AB5-AEF9-FF2DD742D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1" name="Picture 1320">
          <a:extLst>
            <a:ext uri="{FF2B5EF4-FFF2-40B4-BE49-F238E27FC236}">
              <a16:creationId xmlns:a16="http://schemas.microsoft.com/office/drawing/2014/main" id="{44D0D72F-7598-4F0D-AA67-726A94EF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2" name="Picture 1321">
          <a:extLst>
            <a:ext uri="{FF2B5EF4-FFF2-40B4-BE49-F238E27FC236}">
              <a16:creationId xmlns:a16="http://schemas.microsoft.com/office/drawing/2014/main" id="{4D25BBCB-B7BA-4527-AB7D-ADF7AEAC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3" name="Picture 1322">
          <a:extLst>
            <a:ext uri="{FF2B5EF4-FFF2-40B4-BE49-F238E27FC236}">
              <a16:creationId xmlns:a16="http://schemas.microsoft.com/office/drawing/2014/main" id="{48B9F16C-824D-4B01-B022-7E216590D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4" name="Picture 1323">
          <a:extLst>
            <a:ext uri="{FF2B5EF4-FFF2-40B4-BE49-F238E27FC236}">
              <a16:creationId xmlns:a16="http://schemas.microsoft.com/office/drawing/2014/main" id="{338C9BC6-25B5-4724-9738-6D71FE83C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5" name="Picture 1324">
          <a:extLst>
            <a:ext uri="{FF2B5EF4-FFF2-40B4-BE49-F238E27FC236}">
              <a16:creationId xmlns:a16="http://schemas.microsoft.com/office/drawing/2014/main" id="{89674AE8-1DCC-454D-8097-E63D1D1D1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6" name="Picture 1325">
          <a:extLst>
            <a:ext uri="{FF2B5EF4-FFF2-40B4-BE49-F238E27FC236}">
              <a16:creationId xmlns:a16="http://schemas.microsoft.com/office/drawing/2014/main" id="{E5DDD264-9770-4F88-BE9B-2EB84113C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7" name="Picture 1326">
          <a:extLst>
            <a:ext uri="{FF2B5EF4-FFF2-40B4-BE49-F238E27FC236}">
              <a16:creationId xmlns:a16="http://schemas.microsoft.com/office/drawing/2014/main" id="{DB313D03-85CA-4944-8C69-C0BFAF45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8" name="Picture 1327">
          <a:extLst>
            <a:ext uri="{FF2B5EF4-FFF2-40B4-BE49-F238E27FC236}">
              <a16:creationId xmlns:a16="http://schemas.microsoft.com/office/drawing/2014/main" id="{724AC193-7807-4E28-9140-D203E2DF5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29" name="Picture 1328">
          <a:extLst>
            <a:ext uri="{FF2B5EF4-FFF2-40B4-BE49-F238E27FC236}">
              <a16:creationId xmlns:a16="http://schemas.microsoft.com/office/drawing/2014/main" id="{25219F97-817C-4390-B693-CC8D21E3A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0" name="Picture 1329">
          <a:extLst>
            <a:ext uri="{FF2B5EF4-FFF2-40B4-BE49-F238E27FC236}">
              <a16:creationId xmlns:a16="http://schemas.microsoft.com/office/drawing/2014/main" id="{A791D80B-90C5-4479-BD1C-5FB4786ED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1" name="Picture 1330">
          <a:extLst>
            <a:ext uri="{FF2B5EF4-FFF2-40B4-BE49-F238E27FC236}">
              <a16:creationId xmlns:a16="http://schemas.microsoft.com/office/drawing/2014/main" id="{F3131E3C-DFD0-4B97-9301-99BD45F5B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2" name="Picture 1331">
          <a:extLst>
            <a:ext uri="{FF2B5EF4-FFF2-40B4-BE49-F238E27FC236}">
              <a16:creationId xmlns:a16="http://schemas.microsoft.com/office/drawing/2014/main" id="{C4F79BD2-F299-4552-8EA4-4BF2325F9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3" name="Picture 1332">
          <a:extLst>
            <a:ext uri="{FF2B5EF4-FFF2-40B4-BE49-F238E27FC236}">
              <a16:creationId xmlns:a16="http://schemas.microsoft.com/office/drawing/2014/main" id="{EE30C656-9F00-4ADF-AE32-C40869C1E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4" name="Picture 1333">
          <a:extLst>
            <a:ext uri="{FF2B5EF4-FFF2-40B4-BE49-F238E27FC236}">
              <a16:creationId xmlns:a16="http://schemas.microsoft.com/office/drawing/2014/main" id="{208328F8-4696-4B3B-A7A8-71D68681B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5" name="Picture 1334">
          <a:extLst>
            <a:ext uri="{FF2B5EF4-FFF2-40B4-BE49-F238E27FC236}">
              <a16:creationId xmlns:a16="http://schemas.microsoft.com/office/drawing/2014/main" id="{94D23519-B1E1-4AB1-976D-9ACEFC1D3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6" name="Picture 1335">
          <a:extLst>
            <a:ext uri="{FF2B5EF4-FFF2-40B4-BE49-F238E27FC236}">
              <a16:creationId xmlns:a16="http://schemas.microsoft.com/office/drawing/2014/main" id="{394FB660-4EAB-4BDF-B377-DA0FC48AA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7" name="Picture 1336">
          <a:extLst>
            <a:ext uri="{FF2B5EF4-FFF2-40B4-BE49-F238E27FC236}">
              <a16:creationId xmlns:a16="http://schemas.microsoft.com/office/drawing/2014/main" id="{3FE0979A-2099-4D86-9C3B-7E7AA6EF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8" name="Picture 1337">
          <a:extLst>
            <a:ext uri="{FF2B5EF4-FFF2-40B4-BE49-F238E27FC236}">
              <a16:creationId xmlns:a16="http://schemas.microsoft.com/office/drawing/2014/main" id="{74613CDB-7ED3-4CD4-8421-51A525750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39" name="Picture 1338">
          <a:extLst>
            <a:ext uri="{FF2B5EF4-FFF2-40B4-BE49-F238E27FC236}">
              <a16:creationId xmlns:a16="http://schemas.microsoft.com/office/drawing/2014/main" id="{BF61DEE1-3416-421D-8255-DCE32646F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40" name="Picture 1339">
          <a:extLst>
            <a:ext uri="{FF2B5EF4-FFF2-40B4-BE49-F238E27FC236}">
              <a16:creationId xmlns:a16="http://schemas.microsoft.com/office/drawing/2014/main" id="{82076523-8D72-4E74-96BA-F28B041CC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41" name="Picture 1340">
          <a:extLst>
            <a:ext uri="{FF2B5EF4-FFF2-40B4-BE49-F238E27FC236}">
              <a16:creationId xmlns:a16="http://schemas.microsoft.com/office/drawing/2014/main" id="{F536AEAE-6320-4796-8315-0BDDE3C74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42" name="Picture 1341">
          <a:extLst>
            <a:ext uri="{FF2B5EF4-FFF2-40B4-BE49-F238E27FC236}">
              <a16:creationId xmlns:a16="http://schemas.microsoft.com/office/drawing/2014/main" id="{4BA9BC05-6153-48AF-B200-CE915BF8C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43" name="Picture 1342">
          <a:extLst>
            <a:ext uri="{FF2B5EF4-FFF2-40B4-BE49-F238E27FC236}">
              <a16:creationId xmlns:a16="http://schemas.microsoft.com/office/drawing/2014/main" id="{11A85EB9-B5FF-404D-9E0A-FBE165BD6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44" name="Picture 1343">
          <a:extLst>
            <a:ext uri="{FF2B5EF4-FFF2-40B4-BE49-F238E27FC236}">
              <a16:creationId xmlns:a16="http://schemas.microsoft.com/office/drawing/2014/main" id="{2F5C614A-5487-4912-94A9-CDF199C13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171450</xdr:rowOff>
    </xdr:to>
    <xdr:pic>
      <xdr:nvPicPr>
        <xdr:cNvPr id="1345" name="Picture 1344">
          <a:extLst>
            <a:ext uri="{FF2B5EF4-FFF2-40B4-BE49-F238E27FC236}">
              <a16:creationId xmlns:a16="http://schemas.microsoft.com/office/drawing/2014/main" id="{86B58FE1-23FE-4379-9BA0-A56A07C7A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75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F9D5E-106F-45F0-9358-90F54A065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C08325-0B10-411A-AB7E-6EB18BEA0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BA77C4-BE55-48FB-99BB-2AC1F7DB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BE2372-2C07-423B-AE75-40AA552B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204593-F06E-4E43-AAB8-3944009CC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DDB792A-41FA-4662-9931-121A6BDFD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3E3A438-DDE5-4192-9DE9-539E25848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505522</xdr:colOff>
      <xdr:row>2</xdr:row>
      <xdr:rowOff>171450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F17A233-93FB-4379-9567-05323243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457897" cy="5372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467422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AC56CD-F0B8-4D3F-BC6D-0F15BB07F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457897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486472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DF7312-DDB9-41FB-977E-0747ABDDB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457897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476947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C8EDB-CC3B-4512-8B90-69FF77756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476947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20850E-AAB7-440E-AE89-EA50F7815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457897" cy="5372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90FD36-19BF-4D31-8D65-9AC248906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67DC80-503E-4698-A9DA-92D58E37F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C4601E-C2B7-4FE6-8A8C-750BE86D3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0DB4E0-8A23-430E-80AE-5FBEF1977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058E3AE-92CC-4C52-A91D-FB3B62769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96743B8-CA33-470C-9034-E4AE4AC4B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30E38B-6856-48A5-BF33-ABBDD662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B26909D-8C25-463F-90D7-D1EE17B4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23DF72-EE3F-41B0-9DE7-3A0795BC7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4058A08-9BF7-417B-B7BE-9FFFE51C5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33B3BEE-89E5-421A-95CD-9FA78ECEC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5CB5311-41D2-42B6-858D-25E8819AF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E92388F-F53B-4A36-8552-A6573ACC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9794B9B-330C-49EF-930C-2B75014ED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C51E266-6510-495F-8FAA-AEA33B1CF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E832C1F-49FD-4C87-8E60-330AB9BFF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10B9857-497E-4988-B132-5A5058E62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F1164CA-3D45-489B-9C5D-8CE6F195C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CC46CE9-5250-4B49-A384-315E76BF9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835769F-5C82-4468-977E-8F3C5FA2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8A883F4-93C6-45C3-8205-E84C9EF1C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A4CF44A-9B2F-460A-A206-731F034A3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166D9DF-8C64-459E-87C0-2EC9D7617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F40E03E-D966-480D-901F-05F4BF8FC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F8F2AE9-B2C6-4281-A054-B26CBDB04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AA334ED-719C-4CB0-99B4-258B370B7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FA54D427-C522-4CEF-AAC8-91DF988E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6E995A39-776A-48B9-8284-E3599ADD4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01A3A62-4D94-4F1C-8D5D-85B160717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DCDAFE5E-90E9-4A44-BA26-29B365F3E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EDC9960-E693-4AC2-8F07-EF25B7921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BAA4A758-777A-4363-802F-B28CCF54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780B070-07D0-414C-88C3-A78D2B6E9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A9EA21BF-C744-4279-BB91-AB2B6D669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DF78F51-602F-40B4-A3AB-2B337B909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7D38627-0718-4F01-9979-8F54E0480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B6693AB6-0726-443D-8D24-F26A87F1F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87F8693-C700-45B5-A1FC-0C2CF074C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7A8D4C5-60B7-4A1E-9629-6066D314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57150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8DEAE7D3-E729-4FD1-9641-A47C8D150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3D240C92-A946-40D8-BA91-8D3298467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2AF25794-464D-470F-9EE4-67B6F9EA5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BB5A77FE-8879-44DD-9051-76BE7026F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54A6AAD0-CE58-416D-8C59-1D175C7B9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5A5BC81F-5F31-4727-966A-880DBA3D6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E5A6460-3C15-4FE7-A9C0-C66C65BF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BA740D54-ECA1-46F4-A20C-DE70C53C2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9629097E-EA51-4556-B369-1C3495FC2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6AF62C5F-BD9A-460B-A71B-B840F3B93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7DE94FB1-FC7B-4A89-AB3D-E476F74B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E552065A-D6DD-4D0D-A038-6DF9DED32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FE7C6E3-9325-40D6-BE9B-01B23AB1D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C9209808-2563-420B-B7B5-8AC79335A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7122E90-7F89-438D-AD31-352D01E0E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8B6A376-806B-4A84-99E5-73D2236A9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9050A77E-D3B8-4607-908F-DAF08B3AB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B9F6BCB3-9017-4206-B48F-6973A7E4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2DE08793-F901-496C-AD98-340190FF2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E4FD04A8-92BF-474A-B24D-AD7064A3B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457897</xdr:colOff>
      <xdr:row>2</xdr:row>
      <xdr:rowOff>95250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1B4D7565-9FDC-498B-A28E-9E5CF55DE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97" cy="49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0"/>
  <sheetViews>
    <sheetView tabSelected="1" workbookViewId="0">
      <selection activeCell="A14" sqref="A14"/>
    </sheetView>
  </sheetViews>
  <sheetFormatPr defaultRowHeight="15" x14ac:dyDescent="0.25"/>
  <cols>
    <col min="1" max="1" width="51.5703125" style="89" customWidth="1"/>
    <col min="2" max="2" width="22.28515625" style="89" customWidth="1"/>
    <col min="3" max="16384" width="9.140625" style="89"/>
  </cols>
  <sheetData>
    <row r="1" spans="1:2" ht="18" x14ac:dyDescent="0.25">
      <c r="A1" s="100" t="s">
        <v>64</v>
      </c>
      <c r="B1" s="101"/>
    </row>
    <row r="2" spans="1:2" ht="18" x14ac:dyDescent="0.25">
      <c r="A2" s="100" t="s">
        <v>43</v>
      </c>
      <c r="B2" s="101"/>
    </row>
    <row r="3" spans="1:2" x14ac:dyDescent="0.25">
      <c r="A3" s="102" t="s">
        <v>290</v>
      </c>
      <c r="B3" s="101"/>
    </row>
    <row r="5" spans="1:2" x14ac:dyDescent="0.25">
      <c r="A5" s="90"/>
      <c r="B5" s="84" t="s">
        <v>44</v>
      </c>
    </row>
    <row r="6" spans="1:2" x14ac:dyDescent="0.25">
      <c r="A6" s="75" t="s">
        <v>45</v>
      </c>
      <c r="B6" s="76"/>
    </row>
    <row r="7" spans="1:2" x14ac:dyDescent="0.25">
      <c r="A7" s="75" t="s">
        <v>46</v>
      </c>
      <c r="B7" s="76"/>
    </row>
    <row r="8" spans="1:2" x14ac:dyDescent="0.25">
      <c r="A8" s="75" t="s">
        <v>47</v>
      </c>
      <c r="B8" s="76"/>
    </row>
    <row r="9" spans="1:2" x14ac:dyDescent="0.25">
      <c r="A9" s="75" t="s">
        <v>67</v>
      </c>
      <c r="B9" s="58">
        <f>0</f>
        <v>0</v>
      </c>
    </row>
    <row r="10" spans="1:2" x14ac:dyDescent="0.25">
      <c r="A10" s="75" t="s">
        <v>68</v>
      </c>
      <c r="B10" s="58">
        <f>111340.09</f>
        <v>111340.09</v>
      </c>
    </row>
    <row r="11" spans="1:2" x14ac:dyDescent="0.25">
      <c r="A11" s="75" t="s">
        <v>69</v>
      </c>
      <c r="B11" s="58">
        <f>6349</f>
        <v>6349</v>
      </c>
    </row>
    <row r="12" spans="1:2" x14ac:dyDescent="0.25">
      <c r="A12" s="75" t="s">
        <v>70</v>
      </c>
      <c r="B12" s="58">
        <f>2434.14</f>
        <v>2434.14</v>
      </c>
    </row>
    <row r="13" spans="1:2" x14ac:dyDescent="0.25">
      <c r="A13" s="75" t="s">
        <v>71</v>
      </c>
      <c r="B13" s="58">
        <f>236.66</f>
        <v>236.66</v>
      </c>
    </row>
    <row r="14" spans="1:2" x14ac:dyDescent="0.25">
      <c r="A14" s="75" t="s">
        <v>72</v>
      </c>
      <c r="B14" s="58">
        <f>3134.08</f>
        <v>3134.08</v>
      </c>
    </row>
    <row r="15" spans="1:2" x14ac:dyDescent="0.25">
      <c r="A15" s="75" t="s">
        <v>73</v>
      </c>
      <c r="B15" s="58">
        <f>-11783.04</f>
        <v>-11783.04</v>
      </c>
    </row>
    <row r="16" spans="1:2" x14ac:dyDescent="0.25">
      <c r="A16" s="75" t="s">
        <v>74</v>
      </c>
      <c r="B16" s="58">
        <f>13273.19</f>
        <v>13273.19</v>
      </c>
    </row>
    <row r="17" spans="1:2" x14ac:dyDescent="0.25">
      <c r="A17" s="75" t="s">
        <v>75</v>
      </c>
      <c r="B17" s="77">
        <f>(((((((B9)+(B10))+(B11))+(B12))+(B13))+(B14))+(B15))+(B16)</f>
        <v>124984.12</v>
      </c>
    </row>
    <row r="18" spans="1:2" x14ac:dyDescent="0.25">
      <c r="A18" s="75" t="s">
        <v>76</v>
      </c>
      <c r="B18" s="58">
        <f>5111.5</f>
        <v>5111.5</v>
      </c>
    </row>
    <row r="19" spans="1:2" x14ac:dyDescent="0.25">
      <c r="A19" s="75" t="s">
        <v>48</v>
      </c>
      <c r="B19" s="77">
        <f>(B17)+(B18)</f>
        <v>130095.62</v>
      </c>
    </row>
    <row r="20" spans="1:2" x14ac:dyDescent="0.25">
      <c r="A20" s="75" t="s">
        <v>246</v>
      </c>
      <c r="B20" s="76"/>
    </row>
    <row r="21" spans="1:2" x14ac:dyDescent="0.25">
      <c r="A21" s="75" t="s">
        <v>248</v>
      </c>
      <c r="B21" s="58">
        <f>0</f>
        <v>0</v>
      </c>
    </row>
    <row r="22" spans="1:2" x14ac:dyDescent="0.25">
      <c r="A22" s="75" t="s">
        <v>261</v>
      </c>
      <c r="B22" s="58">
        <f>6000</f>
        <v>6000</v>
      </c>
    </row>
    <row r="23" spans="1:2" x14ac:dyDescent="0.25">
      <c r="A23" s="75" t="s">
        <v>291</v>
      </c>
      <c r="B23" s="58">
        <f>4000</f>
        <v>4000</v>
      </c>
    </row>
    <row r="24" spans="1:2" x14ac:dyDescent="0.25">
      <c r="A24" s="75" t="s">
        <v>292</v>
      </c>
      <c r="B24" s="58">
        <f>4906.8</f>
        <v>4906.8</v>
      </c>
    </row>
    <row r="25" spans="1:2" x14ac:dyDescent="0.25">
      <c r="A25" s="75" t="s">
        <v>293</v>
      </c>
      <c r="B25" s="58">
        <f>2500</f>
        <v>2500</v>
      </c>
    </row>
    <row r="26" spans="1:2" x14ac:dyDescent="0.25">
      <c r="A26" s="75" t="s">
        <v>294</v>
      </c>
      <c r="B26" s="58">
        <f>4500</f>
        <v>4500</v>
      </c>
    </row>
    <row r="27" spans="1:2" x14ac:dyDescent="0.25">
      <c r="A27" s="75" t="s">
        <v>253</v>
      </c>
      <c r="B27" s="58">
        <f>2725</f>
        <v>2725</v>
      </c>
    </row>
    <row r="28" spans="1:2" x14ac:dyDescent="0.25">
      <c r="A28" s="75" t="s">
        <v>249</v>
      </c>
      <c r="B28" s="77">
        <f>((((((B21)+(B22))+(B23))+(B24))+(B25))+(B26))+(B27)</f>
        <v>24631.8</v>
      </c>
    </row>
    <row r="29" spans="1:2" x14ac:dyDescent="0.25">
      <c r="A29" s="75" t="s">
        <v>247</v>
      </c>
      <c r="B29" s="77">
        <f>B28</f>
        <v>24631.8</v>
      </c>
    </row>
    <row r="30" spans="1:2" x14ac:dyDescent="0.25">
      <c r="A30" s="75" t="s">
        <v>49</v>
      </c>
      <c r="B30" s="77">
        <f>(B19)+(B29)</f>
        <v>154727.41999999998</v>
      </c>
    </row>
    <row r="31" spans="1:2" x14ac:dyDescent="0.25">
      <c r="A31" s="75" t="s">
        <v>77</v>
      </c>
      <c r="B31" s="76"/>
    </row>
    <row r="32" spans="1:2" x14ac:dyDescent="0.25">
      <c r="A32" s="75" t="s">
        <v>78</v>
      </c>
      <c r="B32" s="76"/>
    </row>
    <row r="33" spans="1:2" x14ac:dyDescent="0.25">
      <c r="A33" s="75" t="s">
        <v>79</v>
      </c>
      <c r="B33" s="58">
        <f>48794.06</f>
        <v>48794.06</v>
      </c>
    </row>
    <row r="34" spans="1:2" x14ac:dyDescent="0.25">
      <c r="A34" s="75" t="s">
        <v>80</v>
      </c>
      <c r="B34" s="77">
        <f>(B32)+(B33)</f>
        <v>48794.06</v>
      </c>
    </row>
    <row r="35" spans="1:2" x14ac:dyDescent="0.25">
      <c r="A35" s="75" t="s">
        <v>81</v>
      </c>
      <c r="B35" s="77">
        <f>B34</f>
        <v>48794.06</v>
      </c>
    </row>
    <row r="36" spans="1:2" x14ac:dyDescent="0.25">
      <c r="A36" s="75" t="s">
        <v>50</v>
      </c>
      <c r="B36" s="77">
        <f>(B30)+(B35)</f>
        <v>203521.47999999998</v>
      </c>
    </row>
    <row r="37" spans="1:2" x14ac:dyDescent="0.25">
      <c r="A37" s="75" t="s">
        <v>51</v>
      </c>
      <c r="B37" s="76"/>
    </row>
    <row r="38" spans="1:2" x14ac:dyDescent="0.25">
      <c r="A38" s="75" t="s">
        <v>52</v>
      </c>
      <c r="B38" s="76"/>
    </row>
    <row r="39" spans="1:2" x14ac:dyDescent="0.25">
      <c r="A39" s="75" t="s">
        <v>53</v>
      </c>
      <c r="B39" s="76"/>
    </row>
    <row r="40" spans="1:2" x14ac:dyDescent="0.25">
      <c r="A40" s="75" t="s">
        <v>54</v>
      </c>
      <c r="B40" s="76"/>
    </row>
    <row r="41" spans="1:2" x14ac:dyDescent="0.25">
      <c r="A41" s="75" t="s">
        <v>55</v>
      </c>
      <c r="B41" s="58">
        <f>40983.06</f>
        <v>40983.06</v>
      </c>
    </row>
    <row r="42" spans="1:2" x14ac:dyDescent="0.25">
      <c r="A42" s="75" t="s">
        <v>56</v>
      </c>
      <c r="B42" s="58">
        <f>142069.52</f>
        <v>142069.51999999999</v>
      </c>
    </row>
    <row r="43" spans="1:2" x14ac:dyDescent="0.25">
      <c r="A43" s="75" t="s">
        <v>82</v>
      </c>
      <c r="B43" s="58">
        <f>-31633</f>
        <v>-31633</v>
      </c>
    </row>
    <row r="44" spans="1:2" x14ac:dyDescent="0.25">
      <c r="A44" s="75" t="s">
        <v>83</v>
      </c>
      <c r="B44" s="58">
        <f>52101.9</f>
        <v>52101.9</v>
      </c>
    </row>
    <row r="45" spans="1:2" x14ac:dyDescent="0.25">
      <c r="A45" s="75" t="s">
        <v>57</v>
      </c>
      <c r="B45" s="77">
        <f>(((B41)+(B42))+(B43))+(B44)</f>
        <v>203521.47999999998</v>
      </c>
    </row>
    <row r="46" spans="1:2" x14ac:dyDescent="0.25">
      <c r="A46" s="75" t="s">
        <v>58</v>
      </c>
      <c r="B46" s="77">
        <f>(B39)+(B45)</f>
        <v>203521.47999999998</v>
      </c>
    </row>
    <row r="47" spans="1:2" x14ac:dyDescent="0.25">
      <c r="A47" s="75"/>
      <c r="B47" s="76"/>
    </row>
    <row r="50" spans="1:2" x14ac:dyDescent="0.25">
      <c r="A50" s="103" t="s">
        <v>313</v>
      </c>
      <c r="B50" s="101"/>
    </row>
  </sheetData>
  <mergeCells count="4">
    <mergeCell ref="A1:B1"/>
    <mergeCell ref="A2:B2"/>
    <mergeCell ref="A3:B3"/>
    <mergeCell ref="A50:B50"/>
  </mergeCells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A7AF-E27F-47A6-916D-3B746D5BE77A}">
  <sheetPr>
    <pageSetUpPr fitToPage="1"/>
  </sheetPr>
  <dimension ref="A1:E129"/>
  <sheetViews>
    <sheetView topLeftCell="A21" zoomScaleNormal="100" workbookViewId="0">
      <selection activeCell="A49" sqref="A49"/>
    </sheetView>
  </sheetViews>
  <sheetFormatPr defaultRowHeight="15" x14ac:dyDescent="0.25"/>
  <cols>
    <col min="1" max="1" width="43" style="89" customWidth="1"/>
    <col min="2" max="4" width="19.7109375" style="89" customWidth="1"/>
    <col min="5" max="16384" width="9.140625" style="89"/>
  </cols>
  <sheetData>
    <row r="1" spans="1:4" ht="18" x14ac:dyDescent="0.25">
      <c r="A1" s="100" t="s">
        <v>64</v>
      </c>
      <c r="B1" s="101"/>
      <c r="C1" s="101"/>
      <c r="D1" s="101"/>
    </row>
    <row r="2" spans="1:4" ht="18" x14ac:dyDescent="0.25">
      <c r="A2" s="100" t="s">
        <v>126</v>
      </c>
      <c r="B2" s="101"/>
      <c r="C2" s="101"/>
      <c r="D2" s="101"/>
    </row>
    <row r="3" spans="1:4" x14ac:dyDescent="0.25">
      <c r="A3" s="102" t="s">
        <v>127</v>
      </c>
      <c r="B3" s="101"/>
      <c r="C3" s="101"/>
      <c r="D3" s="101"/>
    </row>
    <row r="5" spans="1:4" x14ac:dyDescent="0.25">
      <c r="A5" s="90"/>
      <c r="B5" s="104" t="s">
        <v>44</v>
      </c>
      <c r="C5" s="105"/>
      <c r="D5" s="105"/>
    </row>
    <row r="6" spans="1:4" x14ac:dyDescent="0.25">
      <c r="A6" s="90"/>
      <c r="B6" s="84" t="s">
        <v>128</v>
      </c>
      <c r="C6" s="84" t="s">
        <v>129</v>
      </c>
      <c r="D6" s="84" t="s">
        <v>130</v>
      </c>
    </row>
    <row r="7" spans="1:4" x14ac:dyDescent="0.25">
      <c r="A7" s="75" t="s">
        <v>131</v>
      </c>
      <c r="B7" s="76"/>
      <c r="C7" s="76"/>
      <c r="D7" s="76"/>
    </row>
    <row r="8" spans="1:4" x14ac:dyDescent="0.25">
      <c r="A8" s="75" t="s">
        <v>132</v>
      </c>
      <c r="B8" s="58">
        <f>26661.87</f>
        <v>26661.87</v>
      </c>
      <c r="C8" s="58">
        <f>25000</f>
        <v>25000</v>
      </c>
      <c r="D8" s="58">
        <f t="shared" ref="D8:D29" si="0">(B8)-(C8)</f>
        <v>1661.869999999999</v>
      </c>
    </row>
    <row r="9" spans="1:4" x14ac:dyDescent="0.25">
      <c r="A9" s="75" t="s">
        <v>133</v>
      </c>
      <c r="B9" s="76"/>
      <c r="C9" s="76"/>
      <c r="D9" s="58">
        <f t="shared" si="0"/>
        <v>0</v>
      </c>
    </row>
    <row r="10" spans="1:4" x14ac:dyDescent="0.25">
      <c r="A10" s="75" t="s">
        <v>134</v>
      </c>
      <c r="B10" s="58">
        <f>145391.96</f>
        <v>145391.96</v>
      </c>
      <c r="C10" s="58">
        <f>158112</f>
        <v>158112</v>
      </c>
      <c r="D10" s="58">
        <f t="shared" si="0"/>
        <v>-12720.040000000008</v>
      </c>
    </row>
    <row r="11" spans="1:4" x14ac:dyDescent="0.25">
      <c r="A11" s="75" t="s">
        <v>135</v>
      </c>
      <c r="B11" s="58">
        <f>90400</f>
        <v>90400</v>
      </c>
      <c r="C11" s="58">
        <f>99766</f>
        <v>99766</v>
      </c>
      <c r="D11" s="58">
        <f t="shared" si="0"/>
        <v>-9366</v>
      </c>
    </row>
    <row r="12" spans="1:4" x14ac:dyDescent="0.25">
      <c r="A12" s="75" t="s">
        <v>136</v>
      </c>
      <c r="B12" s="58">
        <f>15078.5</f>
        <v>15078.5</v>
      </c>
      <c r="C12" s="58">
        <f>10383.45</f>
        <v>10383.450000000001</v>
      </c>
      <c r="D12" s="58">
        <f t="shared" si="0"/>
        <v>4695.0499999999993</v>
      </c>
    </row>
    <row r="13" spans="1:4" x14ac:dyDescent="0.25">
      <c r="A13" s="75" t="s">
        <v>137</v>
      </c>
      <c r="B13" s="58">
        <f>7194.51</f>
        <v>7194.51</v>
      </c>
      <c r="C13" s="58">
        <f>3500</f>
        <v>3500</v>
      </c>
      <c r="D13" s="58">
        <f t="shared" si="0"/>
        <v>3694.51</v>
      </c>
    </row>
    <row r="14" spans="1:4" x14ac:dyDescent="0.25">
      <c r="A14" s="75" t="s">
        <v>138</v>
      </c>
      <c r="B14" s="58">
        <f>12737.46</f>
        <v>12737.46</v>
      </c>
      <c r="C14" s="76"/>
      <c r="D14" s="58">
        <f t="shared" si="0"/>
        <v>12737.46</v>
      </c>
    </row>
    <row r="15" spans="1:4" x14ac:dyDescent="0.25">
      <c r="A15" s="75" t="s">
        <v>139</v>
      </c>
      <c r="B15" s="58">
        <f>37744.25</f>
        <v>37744.25</v>
      </c>
      <c r="C15" s="58">
        <f>25000</f>
        <v>25000</v>
      </c>
      <c r="D15" s="58">
        <f t="shared" si="0"/>
        <v>12744.25</v>
      </c>
    </row>
    <row r="16" spans="1:4" x14ac:dyDescent="0.25">
      <c r="A16" s="75" t="s">
        <v>140</v>
      </c>
      <c r="B16" s="76"/>
      <c r="C16" s="76"/>
      <c r="D16" s="58">
        <f t="shared" si="0"/>
        <v>0</v>
      </c>
    </row>
    <row r="17" spans="1:4" x14ac:dyDescent="0.25">
      <c r="A17" s="75" t="s">
        <v>141</v>
      </c>
      <c r="B17" s="58">
        <f>4130.09</f>
        <v>4130.09</v>
      </c>
      <c r="C17" s="58">
        <f>4500</f>
        <v>4500</v>
      </c>
      <c r="D17" s="58">
        <f t="shared" si="0"/>
        <v>-369.90999999999985</v>
      </c>
    </row>
    <row r="18" spans="1:4" x14ac:dyDescent="0.25">
      <c r="A18" s="75" t="s">
        <v>142</v>
      </c>
      <c r="B18" s="58">
        <f>2332.25</f>
        <v>2332.25</v>
      </c>
      <c r="C18" s="58">
        <f>1500</f>
        <v>1500</v>
      </c>
      <c r="D18" s="58">
        <f t="shared" si="0"/>
        <v>832.25</v>
      </c>
    </row>
    <row r="19" spans="1:4" x14ac:dyDescent="0.25">
      <c r="A19" s="75" t="s">
        <v>143</v>
      </c>
      <c r="B19" s="58">
        <f>8571.97</f>
        <v>8571.9699999999993</v>
      </c>
      <c r="C19" s="58">
        <f>1500</f>
        <v>1500</v>
      </c>
      <c r="D19" s="58">
        <f t="shared" si="0"/>
        <v>7071.9699999999993</v>
      </c>
    </row>
    <row r="20" spans="1:4" x14ac:dyDescent="0.25">
      <c r="A20" s="75" t="s">
        <v>144</v>
      </c>
      <c r="B20" s="76"/>
      <c r="C20" s="58">
        <f>500</f>
        <v>500</v>
      </c>
      <c r="D20" s="58">
        <f t="shared" si="0"/>
        <v>-500</v>
      </c>
    </row>
    <row r="21" spans="1:4" x14ac:dyDescent="0.25">
      <c r="A21" s="75" t="s">
        <v>145</v>
      </c>
      <c r="B21" s="77">
        <f>((((B16)+(B17))+(B18))+(B19))+(B20)</f>
        <v>15034.31</v>
      </c>
      <c r="C21" s="77">
        <f>((((C16)+(C17))+(C18))+(C19))+(C20)</f>
        <v>8000</v>
      </c>
      <c r="D21" s="77">
        <f t="shared" si="0"/>
        <v>7034.3099999999995</v>
      </c>
    </row>
    <row r="22" spans="1:4" x14ac:dyDescent="0.25">
      <c r="A22" s="75" t="s">
        <v>250</v>
      </c>
      <c r="B22" s="58">
        <f>0</f>
        <v>0</v>
      </c>
      <c r="C22" s="76"/>
      <c r="D22" s="58">
        <f t="shared" si="0"/>
        <v>0</v>
      </c>
    </row>
    <row r="23" spans="1:4" x14ac:dyDescent="0.25">
      <c r="A23" s="75" t="s">
        <v>146</v>
      </c>
      <c r="B23" s="77">
        <f>((((((((B9)+(B10))+(B11))+(B12))+(B13))+(B14))+(B15))+(B21))+(B22)</f>
        <v>323580.99</v>
      </c>
      <c r="C23" s="77">
        <f>((((((((C9)+(C10))+(C11))+(C12))+(C13))+(C14))+(C15))+(C21))+(C22)</f>
        <v>304761.45</v>
      </c>
      <c r="D23" s="77">
        <f t="shared" si="0"/>
        <v>18819.539999999979</v>
      </c>
    </row>
    <row r="24" spans="1:4" x14ac:dyDescent="0.25">
      <c r="A24" s="75" t="s">
        <v>147</v>
      </c>
      <c r="B24" s="58">
        <f>4294.53</f>
        <v>4294.53</v>
      </c>
      <c r="C24" s="58">
        <f>2500</f>
        <v>2500</v>
      </c>
      <c r="D24" s="58">
        <f t="shared" si="0"/>
        <v>1794.5299999999997</v>
      </c>
    </row>
    <row r="25" spans="1:4" x14ac:dyDescent="0.25">
      <c r="A25" s="75" t="s">
        <v>148</v>
      </c>
      <c r="B25" s="58">
        <f>16.16</f>
        <v>16.16</v>
      </c>
      <c r="C25" s="58">
        <f>100</f>
        <v>100</v>
      </c>
      <c r="D25" s="58">
        <f t="shared" si="0"/>
        <v>-83.84</v>
      </c>
    </row>
    <row r="26" spans="1:4" x14ac:dyDescent="0.25">
      <c r="A26" s="75" t="s">
        <v>149</v>
      </c>
      <c r="B26" s="58">
        <f>951.38</f>
        <v>951.38</v>
      </c>
      <c r="C26" s="76"/>
      <c r="D26" s="58">
        <f t="shared" si="0"/>
        <v>951.38</v>
      </c>
    </row>
    <row r="27" spans="1:4" x14ac:dyDescent="0.25">
      <c r="A27" s="75" t="s">
        <v>288</v>
      </c>
      <c r="B27" s="58">
        <f>0</f>
        <v>0</v>
      </c>
      <c r="C27" s="76"/>
      <c r="D27" s="58">
        <f t="shared" si="0"/>
        <v>0</v>
      </c>
    </row>
    <row r="28" spans="1:4" x14ac:dyDescent="0.25">
      <c r="A28" s="75" t="s">
        <v>150</v>
      </c>
      <c r="B28" s="77">
        <f>(((((B8)+(B23))+(B24))+(B25))+(B26))+(B27)</f>
        <v>355504.93</v>
      </c>
      <c r="C28" s="77">
        <f>(((((C8)+(C23))+(C24))+(C25))+(C26))+(C27)</f>
        <v>332361.45</v>
      </c>
      <c r="D28" s="77">
        <f t="shared" si="0"/>
        <v>23143.479999999981</v>
      </c>
    </row>
    <row r="29" spans="1:4" x14ac:dyDescent="0.25">
      <c r="A29" s="75" t="s">
        <v>151</v>
      </c>
      <c r="B29" s="77">
        <f>(B28)-(0)</f>
        <v>355504.93</v>
      </c>
      <c r="C29" s="77">
        <f>(C28)-(0)</f>
        <v>332361.45</v>
      </c>
      <c r="D29" s="77">
        <f t="shared" si="0"/>
        <v>23143.479999999981</v>
      </c>
    </row>
    <row r="30" spans="1:4" x14ac:dyDescent="0.25">
      <c r="A30" s="75" t="s">
        <v>152</v>
      </c>
      <c r="B30" s="76"/>
      <c r="C30" s="76"/>
      <c r="D30" s="76"/>
    </row>
    <row r="31" spans="1:4" x14ac:dyDescent="0.25">
      <c r="A31" s="75" t="s">
        <v>153</v>
      </c>
      <c r="B31" s="76"/>
      <c r="C31" s="76"/>
      <c r="D31" s="58">
        <f t="shared" ref="D31:D94" si="1">(B31)-(C31)</f>
        <v>0</v>
      </c>
    </row>
    <row r="32" spans="1:4" x14ac:dyDescent="0.25">
      <c r="A32" s="75" t="s">
        <v>154</v>
      </c>
      <c r="B32" s="58">
        <f>13408.04</f>
        <v>13408.04</v>
      </c>
      <c r="C32" s="58">
        <f>12000</f>
        <v>12000</v>
      </c>
      <c r="D32" s="58">
        <f t="shared" si="1"/>
        <v>1408.0400000000009</v>
      </c>
    </row>
    <row r="33" spans="1:4" x14ac:dyDescent="0.25">
      <c r="A33" s="75" t="s">
        <v>155</v>
      </c>
      <c r="B33" s="58">
        <f>30637</f>
        <v>30637</v>
      </c>
      <c r="C33" s="58">
        <f>24500</f>
        <v>24500</v>
      </c>
      <c r="D33" s="58">
        <f t="shared" si="1"/>
        <v>6137</v>
      </c>
    </row>
    <row r="34" spans="1:4" x14ac:dyDescent="0.25">
      <c r="A34" s="75" t="s">
        <v>156</v>
      </c>
      <c r="B34" s="58">
        <f>4400</f>
        <v>4400</v>
      </c>
      <c r="C34" s="58">
        <f>2000</f>
        <v>2000</v>
      </c>
      <c r="D34" s="58">
        <f t="shared" si="1"/>
        <v>2400</v>
      </c>
    </row>
    <row r="35" spans="1:4" x14ac:dyDescent="0.25">
      <c r="A35" s="75" t="s">
        <v>157</v>
      </c>
      <c r="B35" s="58">
        <f>6000</f>
        <v>6000</v>
      </c>
      <c r="C35" s="58">
        <f>6000</f>
        <v>6000</v>
      </c>
      <c r="D35" s="58">
        <f t="shared" si="1"/>
        <v>0</v>
      </c>
    </row>
    <row r="36" spans="1:4" x14ac:dyDescent="0.25">
      <c r="A36" s="75" t="s">
        <v>158</v>
      </c>
      <c r="B36" s="58">
        <f>9000</f>
        <v>9000</v>
      </c>
      <c r="C36" s="58">
        <f>9000</f>
        <v>9000</v>
      </c>
      <c r="D36" s="58">
        <f t="shared" si="1"/>
        <v>0</v>
      </c>
    </row>
    <row r="37" spans="1:4" x14ac:dyDescent="0.25">
      <c r="A37" s="75" t="s">
        <v>159</v>
      </c>
      <c r="B37" s="58">
        <f>1380</f>
        <v>1380</v>
      </c>
      <c r="C37" s="58">
        <f>1800</f>
        <v>1800</v>
      </c>
      <c r="D37" s="58">
        <f t="shared" si="1"/>
        <v>-420</v>
      </c>
    </row>
    <row r="38" spans="1:4" x14ac:dyDescent="0.25">
      <c r="A38" s="75" t="s">
        <v>160</v>
      </c>
      <c r="B38" s="58">
        <f>950.48</f>
        <v>950.48</v>
      </c>
      <c r="C38" s="58">
        <f>1500</f>
        <v>1500</v>
      </c>
      <c r="D38" s="58">
        <f t="shared" si="1"/>
        <v>-549.52</v>
      </c>
    </row>
    <row r="39" spans="1:4" x14ac:dyDescent="0.25">
      <c r="A39" s="75" t="s">
        <v>161</v>
      </c>
      <c r="B39" s="58">
        <f>3656.78</f>
        <v>3656.78</v>
      </c>
      <c r="C39" s="58">
        <f>2925.66</f>
        <v>2925.66</v>
      </c>
      <c r="D39" s="58">
        <f t="shared" si="1"/>
        <v>731.12000000000035</v>
      </c>
    </row>
    <row r="40" spans="1:4" x14ac:dyDescent="0.25">
      <c r="A40" s="75" t="s">
        <v>162</v>
      </c>
      <c r="B40" s="58">
        <f>33180.61</f>
        <v>33180.61</v>
      </c>
      <c r="C40" s="58">
        <f>29544.87</f>
        <v>29544.87</v>
      </c>
      <c r="D40" s="58">
        <f t="shared" si="1"/>
        <v>3635.7400000000016</v>
      </c>
    </row>
    <row r="41" spans="1:4" x14ac:dyDescent="0.25">
      <c r="A41" s="75" t="s">
        <v>163</v>
      </c>
      <c r="B41" s="58">
        <f>8209.48</f>
        <v>8209.48</v>
      </c>
      <c r="C41" s="58">
        <f>11500</f>
        <v>11500</v>
      </c>
      <c r="D41" s="58">
        <f t="shared" si="1"/>
        <v>-3290.5200000000004</v>
      </c>
    </row>
    <row r="42" spans="1:4" x14ac:dyDescent="0.25">
      <c r="A42" s="75" t="s">
        <v>164</v>
      </c>
      <c r="B42" s="58">
        <f>7516.62</f>
        <v>7516.62</v>
      </c>
      <c r="C42" s="58">
        <f>6837.5</f>
        <v>6837.5</v>
      </c>
      <c r="D42" s="58">
        <f t="shared" si="1"/>
        <v>679.11999999999989</v>
      </c>
    </row>
    <row r="43" spans="1:4" x14ac:dyDescent="0.25">
      <c r="A43" s="75" t="s">
        <v>165</v>
      </c>
      <c r="B43" s="58">
        <f>10375</f>
        <v>10375</v>
      </c>
      <c r="C43" s="58">
        <f>12000</f>
        <v>12000</v>
      </c>
      <c r="D43" s="58">
        <f t="shared" si="1"/>
        <v>-1625</v>
      </c>
    </row>
    <row r="44" spans="1:4" x14ac:dyDescent="0.25">
      <c r="A44" s="75" t="s">
        <v>166</v>
      </c>
      <c r="B44" s="58">
        <f>8129.98</f>
        <v>8129.98</v>
      </c>
      <c r="C44" s="58">
        <f>7148</f>
        <v>7148</v>
      </c>
      <c r="D44" s="58">
        <f t="shared" si="1"/>
        <v>981.97999999999956</v>
      </c>
    </row>
    <row r="45" spans="1:4" x14ac:dyDescent="0.25">
      <c r="A45" s="75" t="s">
        <v>167</v>
      </c>
      <c r="B45" s="58">
        <f>8436.9</f>
        <v>8436.9</v>
      </c>
      <c r="C45" s="58">
        <f>9365.42</f>
        <v>9365.42</v>
      </c>
      <c r="D45" s="58">
        <f t="shared" si="1"/>
        <v>-928.52000000000044</v>
      </c>
    </row>
    <row r="46" spans="1:4" x14ac:dyDescent="0.25">
      <c r="A46" s="75" t="s">
        <v>168</v>
      </c>
      <c r="B46" s="58">
        <f>2450</f>
        <v>2450</v>
      </c>
      <c r="C46" s="58">
        <f>1800</f>
        <v>1800</v>
      </c>
      <c r="D46" s="58">
        <f t="shared" si="1"/>
        <v>650</v>
      </c>
    </row>
    <row r="47" spans="1:4" x14ac:dyDescent="0.25">
      <c r="A47" s="75" t="s">
        <v>169</v>
      </c>
      <c r="B47" s="58">
        <f>88331.43</f>
        <v>88331.43</v>
      </c>
      <c r="C47" s="58">
        <f>99766</f>
        <v>99766</v>
      </c>
      <c r="D47" s="58">
        <f t="shared" si="1"/>
        <v>-11434.570000000007</v>
      </c>
    </row>
    <row r="48" spans="1:4" x14ac:dyDescent="0.25">
      <c r="A48" s="75" t="s">
        <v>170</v>
      </c>
      <c r="B48" s="58">
        <f>1965.56</f>
        <v>1965.56</v>
      </c>
      <c r="C48" s="58">
        <f>2000</f>
        <v>2000</v>
      </c>
      <c r="D48" s="58">
        <f t="shared" si="1"/>
        <v>-34.440000000000055</v>
      </c>
    </row>
    <row r="49" spans="1:5" x14ac:dyDescent="0.25">
      <c r="A49" s="75" t="s">
        <v>362</v>
      </c>
      <c r="B49" s="76"/>
      <c r="C49" s="58">
        <f>2000</f>
        <v>2000</v>
      </c>
      <c r="D49" s="58">
        <f t="shared" si="1"/>
        <v>-2000</v>
      </c>
      <c r="E49" s="89" t="s">
        <v>361</v>
      </c>
    </row>
    <row r="50" spans="1:5" x14ac:dyDescent="0.25">
      <c r="A50" s="75" t="s">
        <v>172</v>
      </c>
      <c r="B50" s="58">
        <f>593.14</f>
        <v>593.14</v>
      </c>
      <c r="C50" s="58">
        <f>2150</f>
        <v>2150</v>
      </c>
      <c r="D50" s="58">
        <f t="shared" si="1"/>
        <v>-1556.8600000000001</v>
      </c>
    </row>
    <row r="51" spans="1:5" x14ac:dyDescent="0.25">
      <c r="A51" s="75" t="s">
        <v>173</v>
      </c>
      <c r="B51" s="77">
        <f>(((((((((((((((((((B31)+(B32))+(B33))+(B34))+(B35))+(B36))+(B37))+(B38))+(B39))+(B40))+(B41))+(B42))+(B43))+(B44))+(B45))+(B46))+(B47))+(B48))+(B49))+(B50)</f>
        <v>238621.02</v>
      </c>
      <c r="C51" s="77">
        <f>(((((((((((((((((((C31)+(C32))+(C33))+(C34))+(C35))+(C36))+(C37))+(C38))+(C39))+(C40))+(C41))+(C42))+(C43))+(C44))+(C45))+(C46))+(C47))+(C48))+(C49))+(C50)</f>
        <v>243837.45</v>
      </c>
      <c r="D51" s="77">
        <f t="shared" si="1"/>
        <v>-5216.4300000000221</v>
      </c>
    </row>
    <row r="52" spans="1:5" x14ac:dyDescent="0.25">
      <c r="A52" s="75" t="s">
        <v>174</v>
      </c>
      <c r="B52" s="76"/>
      <c r="C52" s="76"/>
      <c r="D52" s="58">
        <f t="shared" si="1"/>
        <v>0</v>
      </c>
    </row>
    <row r="53" spans="1:5" x14ac:dyDescent="0.25">
      <c r="A53" s="75" t="s">
        <v>175</v>
      </c>
      <c r="B53" s="58">
        <f>7300</f>
        <v>7300</v>
      </c>
      <c r="C53" s="58">
        <f>30000</f>
        <v>30000</v>
      </c>
      <c r="D53" s="58">
        <f t="shared" si="1"/>
        <v>-22700</v>
      </c>
    </row>
    <row r="54" spans="1:5" x14ac:dyDescent="0.25">
      <c r="A54" s="75" t="s">
        <v>176</v>
      </c>
      <c r="B54" s="58">
        <f>380</f>
        <v>380</v>
      </c>
      <c r="C54" s="58">
        <f>1000</f>
        <v>1000</v>
      </c>
      <c r="D54" s="58">
        <f t="shared" si="1"/>
        <v>-620</v>
      </c>
    </row>
    <row r="55" spans="1:5" x14ac:dyDescent="0.25">
      <c r="A55" s="75" t="s">
        <v>177</v>
      </c>
      <c r="B55" s="58">
        <f>175.19</f>
        <v>175.19</v>
      </c>
      <c r="C55" s="58">
        <f>200</f>
        <v>200</v>
      </c>
      <c r="D55" s="58">
        <f t="shared" si="1"/>
        <v>-24.810000000000002</v>
      </c>
    </row>
    <row r="56" spans="1:5" x14ac:dyDescent="0.25">
      <c r="A56" s="75" t="s">
        <v>178</v>
      </c>
      <c r="B56" s="77">
        <f>(((B52)+(B53))+(B54))+(B55)</f>
        <v>7855.19</v>
      </c>
      <c r="C56" s="77">
        <f>(((C52)+(C53))+(C54))+(C55)</f>
        <v>31200</v>
      </c>
      <c r="D56" s="77">
        <f t="shared" si="1"/>
        <v>-23344.81</v>
      </c>
    </row>
    <row r="57" spans="1:5" x14ac:dyDescent="0.25">
      <c r="A57" s="75" t="s">
        <v>179</v>
      </c>
      <c r="B57" s="76"/>
      <c r="C57" s="76"/>
      <c r="D57" s="58">
        <f t="shared" si="1"/>
        <v>0</v>
      </c>
    </row>
    <row r="58" spans="1:5" x14ac:dyDescent="0.25">
      <c r="A58" s="75" t="s">
        <v>180</v>
      </c>
      <c r="B58" s="58">
        <f>764.05</f>
        <v>764.05</v>
      </c>
      <c r="C58" s="58">
        <f>500</f>
        <v>500</v>
      </c>
      <c r="D58" s="58">
        <f t="shared" si="1"/>
        <v>264.04999999999995</v>
      </c>
    </row>
    <row r="59" spans="1:5" x14ac:dyDescent="0.25">
      <c r="A59" s="75" t="s">
        <v>181</v>
      </c>
      <c r="B59" s="58">
        <f>3000</f>
        <v>3000</v>
      </c>
      <c r="C59" s="58">
        <f>2500</f>
        <v>2500</v>
      </c>
      <c r="D59" s="58">
        <f t="shared" si="1"/>
        <v>500</v>
      </c>
    </row>
    <row r="60" spans="1:5" x14ac:dyDescent="0.25">
      <c r="A60" s="75" t="s">
        <v>182</v>
      </c>
      <c r="B60" s="58">
        <f>19.57</f>
        <v>19.57</v>
      </c>
      <c r="C60" s="58">
        <f>500</f>
        <v>500</v>
      </c>
      <c r="D60" s="58">
        <f t="shared" si="1"/>
        <v>-480.43</v>
      </c>
    </row>
    <row r="61" spans="1:5" x14ac:dyDescent="0.25">
      <c r="A61" s="75" t="s">
        <v>183</v>
      </c>
      <c r="B61" s="58">
        <f>2855.25</f>
        <v>2855.25</v>
      </c>
      <c r="C61" s="58">
        <f>8000</f>
        <v>8000</v>
      </c>
      <c r="D61" s="58">
        <f t="shared" si="1"/>
        <v>-5144.75</v>
      </c>
    </row>
    <row r="62" spans="1:5" x14ac:dyDescent="0.25">
      <c r="A62" s="75" t="s">
        <v>184</v>
      </c>
      <c r="B62" s="58">
        <f>-2148.1</f>
        <v>-2148.1</v>
      </c>
      <c r="C62" s="58">
        <f>3500</f>
        <v>3500</v>
      </c>
      <c r="D62" s="58">
        <f t="shared" si="1"/>
        <v>-5648.1</v>
      </c>
    </row>
    <row r="63" spans="1:5" x14ac:dyDescent="0.25">
      <c r="A63" s="75" t="s">
        <v>185</v>
      </c>
      <c r="B63" s="76"/>
      <c r="C63" s="58">
        <f>3000</f>
        <v>3000</v>
      </c>
      <c r="D63" s="58">
        <f t="shared" si="1"/>
        <v>-3000</v>
      </c>
    </row>
    <row r="64" spans="1:5" x14ac:dyDescent="0.25">
      <c r="A64" s="75" t="s">
        <v>186</v>
      </c>
      <c r="B64" s="58">
        <f>14000</f>
        <v>14000</v>
      </c>
      <c r="C64" s="58">
        <f>14700</f>
        <v>14700</v>
      </c>
      <c r="D64" s="58">
        <f t="shared" si="1"/>
        <v>-700</v>
      </c>
    </row>
    <row r="65" spans="1:4" x14ac:dyDescent="0.25">
      <c r="A65" s="75" t="s">
        <v>187</v>
      </c>
      <c r="B65" s="58">
        <f>300</f>
        <v>300</v>
      </c>
      <c r="C65" s="58">
        <f>2000</f>
        <v>2000</v>
      </c>
      <c r="D65" s="58">
        <f t="shared" si="1"/>
        <v>-1700</v>
      </c>
    </row>
    <row r="66" spans="1:4" x14ac:dyDescent="0.25">
      <c r="A66" s="75" t="s">
        <v>188</v>
      </c>
      <c r="B66" s="58">
        <f>970.63</f>
        <v>970.63</v>
      </c>
      <c r="C66" s="58">
        <f>500</f>
        <v>500</v>
      </c>
      <c r="D66" s="58">
        <f t="shared" si="1"/>
        <v>470.63</v>
      </c>
    </row>
    <row r="67" spans="1:4" x14ac:dyDescent="0.25">
      <c r="A67" s="75" t="s">
        <v>189</v>
      </c>
      <c r="B67" s="77">
        <f>(((((((((B57)+(B58))+(B59))+(B60))+(B61))+(B62))+(B63))+(B64))+(B65))+(B66)</f>
        <v>19761.400000000001</v>
      </c>
      <c r="C67" s="77">
        <f>(((((((((C57)+(C58))+(C59))+(C60))+(C61))+(C62))+(C63))+(C64))+(C65))+(C66)</f>
        <v>35200</v>
      </c>
      <c r="D67" s="77">
        <f t="shared" si="1"/>
        <v>-15438.599999999999</v>
      </c>
    </row>
    <row r="68" spans="1:4" x14ac:dyDescent="0.25">
      <c r="A68" s="75" t="s">
        <v>190</v>
      </c>
      <c r="B68" s="76"/>
      <c r="C68" s="76"/>
      <c r="D68" s="58">
        <f t="shared" si="1"/>
        <v>0</v>
      </c>
    </row>
    <row r="69" spans="1:4" x14ac:dyDescent="0.25">
      <c r="A69" s="75" t="s">
        <v>191</v>
      </c>
      <c r="B69" s="58">
        <f>1507.95</f>
        <v>1507.95</v>
      </c>
      <c r="C69" s="58">
        <f>1350</f>
        <v>1350</v>
      </c>
      <c r="D69" s="58">
        <f t="shared" si="1"/>
        <v>157.95000000000005</v>
      </c>
    </row>
    <row r="70" spans="1:4" x14ac:dyDescent="0.25">
      <c r="A70" s="75" t="s">
        <v>192</v>
      </c>
      <c r="B70" s="58">
        <f>265.03</f>
        <v>265.02999999999997</v>
      </c>
      <c r="C70" s="58">
        <f>1000</f>
        <v>1000</v>
      </c>
      <c r="D70" s="58">
        <f t="shared" si="1"/>
        <v>-734.97</v>
      </c>
    </row>
    <row r="71" spans="1:4" x14ac:dyDescent="0.25">
      <c r="A71" s="75" t="s">
        <v>193</v>
      </c>
      <c r="B71" s="58">
        <f>-265</f>
        <v>-265</v>
      </c>
      <c r="C71" s="76"/>
      <c r="D71" s="58">
        <f t="shared" si="1"/>
        <v>-265</v>
      </c>
    </row>
    <row r="72" spans="1:4" x14ac:dyDescent="0.25">
      <c r="A72" s="75" t="s">
        <v>194</v>
      </c>
      <c r="B72" s="58">
        <f>168</f>
        <v>168</v>
      </c>
      <c r="C72" s="58">
        <f>500</f>
        <v>500</v>
      </c>
      <c r="D72" s="58">
        <f t="shared" si="1"/>
        <v>-332</v>
      </c>
    </row>
    <row r="73" spans="1:4" x14ac:dyDescent="0.25">
      <c r="A73" s="75" t="s">
        <v>195</v>
      </c>
      <c r="B73" s="58">
        <f>54.4</f>
        <v>54.4</v>
      </c>
      <c r="C73" s="58">
        <f>1250</f>
        <v>1250</v>
      </c>
      <c r="D73" s="58">
        <f t="shared" si="1"/>
        <v>-1195.5999999999999</v>
      </c>
    </row>
    <row r="74" spans="1:4" x14ac:dyDescent="0.25">
      <c r="A74" s="75" t="s">
        <v>196</v>
      </c>
      <c r="B74" s="76"/>
      <c r="C74" s="58">
        <f>350</f>
        <v>350</v>
      </c>
      <c r="D74" s="58">
        <f t="shared" si="1"/>
        <v>-350</v>
      </c>
    </row>
    <row r="75" spans="1:4" x14ac:dyDescent="0.25">
      <c r="A75" s="75" t="s">
        <v>197</v>
      </c>
      <c r="B75" s="76"/>
      <c r="C75" s="58">
        <f>350</f>
        <v>350</v>
      </c>
      <c r="D75" s="58">
        <f t="shared" si="1"/>
        <v>-350</v>
      </c>
    </row>
    <row r="76" spans="1:4" x14ac:dyDescent="0.25">
      <c r="A76" s="75" t="s">
        <v>198</v>
      </c>
      <c r="B76" s="76"/>
      <c r="C76" s="58">
        <f>500</f>
        <v>500</v>
      </c>
      <c r="D76" s="58">
        <f t="shared" si="1"/>
        <v>-500</v>
      </c>
    </row>
    <row r="77" spans="1:4" x14ac:dyDescent="0.25">
      <c r="A77" s="75" t="s">
        <v>199</v>
      </c>
      <c r="B77" s="58">
        <f>620.28</f>
        <v>620.28</v>
      </c>
      <c r="C77" s="58">
        <f>750</f>
        <v>750</v>
      </c>
      <c r="D77" s="58">
        <f t="shared" si="1"/>
        <v>-129.72000000000003</v>
      </c>
    </row>
    <row r="78" spans="1:4" x14ac:dyDescent="0.25">
      <c r="A78" s="75" t="s">
        <v>200</v>
      </c>
      <c r="B78" s="76"/>
      <c r="C78" s="58">
        <f>100</f>
        <v>100</v>
      </c>
      <c r="D78" s="58">
        <f t="shared" si="1"/>
        <v>-100</v>
      </c>
    </row>
    <row r="79" spans="1:4" x14ac:dyDescent="0.25">
      <c r="A79" s="75" t="s">
        <v>201</v>
      </c>
      <c r="B79" s="58">
        <f>2154.6</f>
        <v>2154.6</v>
      </c>
      <c r="C79" s="58">
        <f>2244</f>
        <v>2244</v>
      </c>
      <c r="D79" s="58">
        <f t="shared" si="1"/>
        <v>-89.400000000000091</v>
      </c>
    </row>
    <row r="80" spans="1:4" x14ac:dyDescent="0.25">
      <c r="A80" s="75" t="s">
        <v>202</v>
      </c>
      <c r="B80" s="58">
        <f>783.29</f>
        <v>783.29</v>
      </c>
      <c r="C80" s="58">
        <f>800</f>
        <v>800</v>
      </c>
      <c r="D80" s="58">
        <f t="shared" si="1"/>
        <v>-16.710000000000036</v>
      </c>
    </row>
    <row r="81" spans="1:4" x14ac:dyDescent="0.25">
      <c r="A81" s="75" t="s">
        <v>203</v>
      </c>
      <c r="B81" s="58">
        <f>560</f>
        <v>560</v>
      </c>
      <c r="C81" s="58">
        <f>600</f>
        <v>600</v>
      </c>
      <c r="D81" s="58">
        <f t="shared" si="1"/>
        <v>-40</v>
      </c>
    </row>
    <row r="82" spans="1:4" x14ac:dyDescent="0.25">
      <c r="A82" s="75" t="s">
        <v>204</v>
      </c>
      <c r="B82" s="58">
        <f>380.65</f>
        <v>380.65</v>
      </c>
      <c r="C82" s="58">
        <f>480</f>
        <v>480</v>
      </c>
      <c r="D82" s="58">
        <f t="shared" si="1"/>
        <v>-99.350000000000023</v>
      </c>
    </row>
    <row r="83" spans="1:4" x14ac:dyDescent="0.25">
      <c r="A83" s="75" t="s">
        <v>205</v>
      </c>
      <c r="B83" s="58">
        <f>0</f>
        <v>0</v>
      </c>
      <c r="C83" s="58">
        <f>500</f>
        <v>500</v>
      </c>
      <c r="D83" s="58">
        <f t="shared" si="1"/>
        <v>-500</v>
      </c>
    </row>
    <row r="84" spans="1:4" x14ac:dyDescent="0.25">
      <c r="A84" s="75" t="s">
        <v>206</v>
      </c>
      <c r="B84" s="77">
        <f>(((((((((((((((B68)+(B69))+(B70))+(B71))+(B72))+(B73))+(B74))+(B75))+(B76))+(B77))+(B78))+(B79))+(B80))+(B81))+(B82))+(B83)</f>
        <v>6229.2</v>
      </c>
      <c r="C84" s="77">
        <f>(((((((((((((((C68)+(C69))+(C70))+(C71))+(C72))+(C73))+(C74))+(C75))+(C76))+(C77))+(C78))+(C79))+(C80))+(C81))+(C82))+(C83)</f>
        <v>10774</v>
      </c>
      <c r="D84" s="77">
        <f t="shared" si="1"/>
        <v>-4544.8</v>
      </c>
    </row>
    <row r="85" spans="1:4" x14ac:dyDescent="0.25">
      <c r="A85" s="75" t="s">
        <v>207</v>
      </c>
      <c r="B85" s="76"/>
      <c r="C85" s="58">
        <f>3000</f>
        <v>3000</v>
      </c>
      <c r="D85" s="58">
        <f t="shared" si="1"/>
        <v>-3000</v>
      </c>
    </row>
    <row r="86" spans="1:4" x14ac:dyDescent="0.25">
      <c r="A86" s="75" t="s">
        <v>208</v>
      </c>
      <c r="B86" s="76"/>
      <c r="C86" s="76"/>
      <c r="D86" s="58">
        <f t="shared" si="1"/>
        <v>0</v>
      </c>
    </row>
    <row r="87" spans="1:4" x14ac:dyDescent="0.25">
      <c r="A87" s="75" t="s">
        <v>209</v>
      </c>
      <c r="B87" s="58">
        <f>5274.63</f>
        <v>5274.63</v>
      </c>
      <c r="C87" s="58">
        <f>3500</f>
        <v>3500</v>
      </c>
      <c r="D87" s="58">
        <f t="shared" si="1"/>
        <v>1774.63</v>
      </c>
    </row>
    <row r="88" spans="1:4" x14ac:dyDescent="0.25">
      <c r="A88" s="75" t="s">
        <v>210</v>
      </c>
      <c r="B88" s="58">
        <f>1232.43</f>
        <v>1232.43</v>
      </c>
      <c r="C88" s="58">
        <f>350</f>
        <v>350</v>
      </c>
      <c r="D88" s="58">
        <f t="shared" si="1"/>
        <v>882.43000000000006</v>
      </c>
    </row>
    <row r="89" spans="1:4" x14ac:dyDescent="0.25">
      <c r="A89" s="75" t="s">
        <v>211</v>
      </c>
      <c r="B89" s="77">
        <f>((B86)+(B87))+(B88)</f>
        <v>6507.06</v>
      </c>
      <c r="C89" s="77">
        <f>((C86)+(C87))+(C88)</f>
        <v>3850</v>
      </c>
      <c r="D89" s="77">
        <f t="shared" si="1"/>
        <v>2657.0600000000004</v>
      </c>
    </row>
    <row r="90" spans="1:4" x14ac:dyDescent="0.25">
      <c r="A90" s="75" t="s">
        <v>212</v>
      </c>
      <c r="B90" s="76"/>
      <c r="C90" s="58">
        <f>2000</f>
        <v>2000</v>
      </c>
      <c r="D90" s="58">
        <f t="shared" si="1"/>
        <v>-2000</v>
      </c>
    </row>
    <row r="91" spans="1:4" x14ac:dyDescent="0.25">
      <c r="A91" s="75" t="s">
        <v>213</v>
      </c>
      <c r="B91" s="58">
        <f>3987</f>
        <v>3987</v>
      </c>
      <c r="C91" s="58">
        <f>1500</f>
        <v>1500</v>
      </c>
      <c r="D91" s="58">
        <f t="shared" si="1"/>
        <v>2487</v>
      </c>
    </row>
    <row r="92" spans="1:4" x14ac:dyDescent="0.25">
      <c r="A92" s="75" t="s">
        <v>214</v>
      </c>
      <c r="B92" s="58">
        <f>990.05</f>
        <v>990.05</v>
      </c>
      <c r="C92" s="58">
        <f>1000</f>
        <v>1000</v>
      </c>
      <c r="D92" s="58">
        <f t="shared" si="1"/>
        <v>-9.9500000000000455</v>
      </c>
    </row>
    <row r="93" spans="1:4" x14ac:dyDescent="0.25">
      <c r="A93" s="75" t="s">
        <v>215</v>
      </c>
      <c r="B93" s="77">
        <f>((((((((B51)+(B56))+(B67))+(B84))+(B85))+(B89))+(B90))+(B91))+(B92)</f>
        <v>283950.92</v>
      </c>
      <c r="C93" s="77">
        <f>((((((((C51)+(C56))+(C67))+(C84))+(C85))+(C89))+(C90))+(C91))+(C92)</f>
        <v>332361.45</v>
      </c>
      <c r="D93" s="77">
        <f t="shared" si="1"/>
        <v>-48410.530000000028</v>
      </c>
    </row>
    <row r="94" spans="1:4" x14ac:dyDescent="0.25">
      <c r="A94" s="75" t="s">
        <v>216</v>
      </c>
      <c r="B94" s="77">
        <f>(B29)-(B93)</f>
        <v>71554.010000000009</v>
      </c>
      <c r="C94" s="77">
        <f>(C29)-(C93)</f>
        <v>0</v>
      </c>
      <c r="D94" s="77">
        <f t="shared" si="1"/>
        <v>71554.010000000009</v>
      </c>
    </row>
    <row r="95" spans="1:4" x14ac:dyDescent="0.25">
      <c r="A95" s="75" t="s">
        <v>217</v>
      </c>
      <c r="B95" s="76"/>
      <c r="C95" s="76"/>
      <c r="D95" s="76"/>
    </row>
    <row r="96" spans="1:4" x14ac:dyDescent="0.25">
      <c r="A96" s="75" t="s">
        <v>218</v>
      </c>
      <c r="B96" s="58">
        <f>0</f>
        <v>0</v>
      </c>
      <c r="C96" s="76"/>
      <c r="D96" s="58">
        <f t="shared" ref="D96:D110" si="2">(B96)-(C96)</f>
        <v>0</v>
      </c>
    </row>
    <row r="97" spans="1:4" x14ac:dyDescent="0.25">
      <c r="A97" s="75" t="s">
        <v>219</v>
      </c>
      <c r="B97" s="58">
        <f>42033.47</f>
        <v>42033.47</v>
      </c>
      <c r="C97" s="76"/>
      <c r="D97" s="58">
        <f t="shared" si="2"/>
        <v>42033.47</v>
      </c>
    </row>
    <row r="98" spans="1:4" x14ac:dyDescent="0.25">
      <c r="A98" s="75" t="s">
        <v>220</v>
      </c>
      <c r="B98" s="58">
        <f>13680</f>
        <v>13680</v>
      </c>
      <c r="C98" s="76"/>
      <c r="D98" s="58">
        <f t="shared" si="2"/>
        <v>13680</v>
      </c>
    </row>
    <row r="99" spans="1:4" x14ac:dyDescent="0.25">
      <c r="A99" s="75" t="s">
        <v>221</v>
      </c>
      <c r="B99" s="58">
        <f>42850.7</f>
        <v>42850.7</v>
      </c>
      <c r="C99" s="76"/>
      <c r="D99" s="58">
        <f t="shared" si="2"/>
        <v>42850.7</v>
      </c>
    </row>
    <row r="100" spans="1:4" x14ac:dyDescent="0.25">
      <c r="A100" s="75" t="s">
        <v>254</v>
      </c>
      <c r="B100" s="58">
        <f>1831.91</f>
        <v>1831.91</v>
      </c>
      <c r="C100" s="76"/>
      <c r="D100" s="58">
        <f t="shared" si="2"/>
        <v>1831.91</v>
      </c>
    </row>
    <row r="101" spans="1:4" x14ac:dyDescent="0.25">
      <c r="A101" s="75" t="s">
        <v>255</v>
      </c>
      <c r="B101" s="77">
        <f>(B99)+(B100)</f>
        <v>44682.61</v>
      </c>
      <c r="C101" s="77">
        <f>(C99)+(C100)</f>
        <v>0</v>
      </c>
      <c r="D101" s="77">
        <f t="shared" si="2"/>
        <v>44682.61</v>
      </c>
    </row>
    <row r="102" spans="1:4" x14ac:dyDescent="0.25">
      <c r="A102" s="75" t="s">
        <v>222</v>
      </c>
      <c r="B102" s="58">
        <f>679.14</f>
        <v>679.14</v>
      </c>
      <c r="C102" s="76"/>
      <c r="D102" s="58">
        <f t="shared" si="2"/>
        <v>679.14</v>
      </c>
    </row>
    <row r="103" spans="1:4" x14ac:dyDescent="0.25">
      <c r="A103" s="75" t="s">
        <v>223</v>
      </c>
      <c r="B103" s="58">
        <f>2876</f>
        <v>2876</v>
      </c>
      <c r="C103" s="76"/>
      <c r="D103" s="58">
        <f t="shared" si="2"/>
        <v>2876</v>
      </c>
    </row>
    <row r="104" spans="1:4" x14ac:dyDescent="0.25">
      <c r="A104" s="75" t="s">
        <v>224</v>
      </c>
      <c r="B104" s="58">
        <f>9391.97</f>
        <v>9391.9699999999993</v>
      </c>
      <c r="C104" s="76"/>
      <c r="D104" s="58">
        <f t="shared" si="2"/>
        <v>9391.9699999999993</v>
      </c>
    </row>
    <row r="105" spans="1:4" x14ac:dyDescent="0.25">
      <c r="A105" s="75" t="s">
        <v>225</v>
      </c>
      <c r="B105" s="58">
        <f>1939</f>
        <v>1939</v>
      </c>
      <c r="C105" s="76"/>
      <c r="D105" s="58">
        <f t="shared" si="2"/>
        <v>1939</v>
      </c>
    </row>
    <row r="106" spans="1:4" x14ac:dyDescent="0.25">
      <c r="A106" s="75" t="s">
        <v>226</v>
      </c>
      <c r="B106" s="58">
        <f>39321.42</f>
        <v>39321.42</v>
      </c>
      <c r="C106" s="76"/>
      <c r="D106" s="58">
        <f t="shared" si="2"/>
        <v>39321.42</v>
      </c>
    </row>
    <row r="107" spans="1:4" x14ac:dyDescent="0.25">
      <c r="A107" s="75" t="s">
        <v>227</v>
      </c>
      <c r="B107" s="58">
        <f>11350</f>
        <v>11350</v>
      </c>
      <c r="C107" s="76"/>
      <c r="D107" s="58">
        <f t="shared" si="2"/>
        <v>11350</v>
      </c>
    </row>
    <row r="108" spans="1:4" x14ac:dyDescent="0.25">
      <c r="A108" s="75" t="s">
        <v>228</v>
      </c>
      <c r="B108" s="77">
        <f>(((((((((B96)+(B97))+(B98))+(B101))+(B102))+(B103))+(B104))+(B105))+(B106))+(B107)</f>
        <v>165953.60999999999</v>
      </c>
      <c r="C108" s="77">
        <f>(((((((((C96)+(C97))+(C98))+(C101))+(C102))+(C103))+(C104))+(C105))+(C106))+(C107)</f>
        <v>0</v>
      </c>
      <c r="D108" s="77">
        <f t="shared" si="2"/>
        <v>165953.60999999999</v>
      </c>
    </row>
    <row r="109" spans="1:4" x14ac:dyDescent="0.25">
      <c r="A109" s="75" t="s">
        <v>229</v>
      </c>
      <c r="B109" s="58">
        <f>-3061.49</f>
        <v>-3061.49</v>
      </c>
      <c r="C109" s="76"/>
      <c r="D109" s="58">
        <f t="shared" si="2"/>
        <v>-3061.49</v>
      </c>
    </row>
    <row r="110" spans="1:4" x14ac:dyDescent="0.25">
      <c r="A110" s="75" t="s">
        <v>230</v>
      </c>
      <c r="B110" s="77">
        <f>(B108)+(B109)</f>
        <v>162892.12</v>
      </c>
      <c r="C110" s="77">
        <f>(C108)+(C109)</f>
        <v>0</v>
      </c>
      <c r="D110" s="77">
        <f t="shared" si="2"/>
        <v>162892.12</v>
      </c>
    </row>
    <row r="111" spans="1:4" x14ac:dyDescent="0.25">
      <c r="A111" s="75" t="s">
        <v>231</v>
      </c>
      <c r="B111" s="76"/>
      <c r="C111" s="76"/>
      <c r="D111" s="76"/>
    </row>
    <row r="112" spans="1:4" x14ac:dyDescent="0.25">
      <c r="A112" s="75" t="s">
        <v>232</v>
      </c>
      <c r="B112" s="76"/>
      <c r="C112" s="76"/>
      <c r="D112" s="58">
        <f t="shared" ref="D112:D125" si="3">(B112)-(C112)</f>
        <v>0</v>
      </c>
    </row>
    <row r="113" spans="1:4" x14ac:dyDescent="0.25">
      <c r="A113" s="75" t="s">
        <v>233</v>
      </c>
      <c r="B113" s="58">
        <f>41851.24</f>
        <v>41851.24</v>
      </c>
      <c r="C113" s="76"/>
      <c r="D113" s="58">
        <f t="shared" si="3"/>
        <v>41851.24</v>
      </c>
    </row>
    <row r="114" spans="1:4" x14ac:dyDescent="0.25">
      <c r="A114" s="75" t="s">
        <v>234</v>
      </c>
      <c r="B114" s="58">
        <f>12900</f>
        <v>12900</v>
      </c>
      <c r="C114" s="76"/>
      <c r="D114" s="58">
        <f t="shared" si="3"/>
        <v>12900</v>
      </c>
    </row>
    <row r="115" spans="1:4" x14ac:dyDescent="0.25">
      <c r="A115" s="75" t="s">
        <v>235</v>
      </c>
      <c r="B115" s="58">
        <f>40251.7</f>
        <v>40251.699999999997</v>
      </c>
      <c r="C115" s="76"/>
      <c r="D115" s="58">
        <f t="shared" si="3"/>
        <v>40251.699999999997</v>
      </c>
    </row>
    <row r="116" spans="1:4" x14ac:dyDescent="0.25">
      <c r="A116" s="75" t="s">
        <v>236</v>
      </c>
      <c r="B116" s="58">
        <f>745</f>
        <v>745</v>
      </c>
      <c r="C116" s="76"/>
      <c r="D116" s="58">
        <f t="shared" si="3"/>
        <v>745</v>
      </c>
    </row>
    <row r="117" spans="1:4" x14ac:dyDescent="0.25">
      <c r="A117" s="75" t="s">
        <v>237</v>
      </c>
      <c r="B117" s="58">
        <f>2818</f>
        <v>2818</v>
      </c>
      <c r="C117" s="76"/>
      <c r="D117" s="58">
        <f t="shared" si="3"/>
        <v>2818</v>
      </c>
    </row>
    <row r="118" spans="1:4" x14ac:dyDescent="0.25">
      <c r="A118" s="75" t="s">
        <v>238</v>
      </c>
      <c r="B118" s="58">
        <f>11621.5</f>
        <v>11621.5</v>
      </c>
      <c r="C118" s="76"/>
      <c r="D118" s="58">
        <f t="shared" si="3"/>
        <v>11621.5</v>
      </c>
    </row>
    <row r="119" spans="1:4" x14ac:dyDescent="0.25">
      <c r="A119" s="75" t="s">
        <v>239</v>
      </c>
      <c r="B119" s="58">
        <f>1304.92</f>
        <v>1304.92</v>
      </c>
      <c r="C119" s="76"/>
      <c r="D119" s="58">
        <f t="shared" si="3"/>
        <v>1304.92</v>
      </c>
    </row>
    <row r="120" spans="1:4" x14ac:dyDescent="0.25">
      <c r="A120" s="75" t="s">
        <v>240</v>
      </c>
      <c r="B120" s="58">
        <f>57164.46</f>
        <v>57164.46</v>
      </c>
      <c r="C120" s="76"/>
      <c r="D120" s="58">
        <f t="shared" si="3"/>
        <v>57164.46</v>
      </c>
    </row>
    <row r="121" spans="1:4" x14ac:dyDescent="0.25">
      <c r="A121" s="75" t="s">
        <v>241</v>
      </c>
      <c r="B121" s="58">
        <f>25840.32</f>
        <v>25840.32</v>
      </c>
      <c r="C121" s="76"/>
      <c r="D121" s="58">
        <f t="shared" si="3"/>
        <v>25840.32</v>
      </c>
    </row>
    <row r="122" spans="1:4" x14ac:dyDescent="0.25">
      <c r="A122" s="75" t="s">
        <v>242</v>
      </c>
      <c r="B122" s="77">
        <f>(((((((((B112)+(B113))+(B114))+(B115))+(B116))+(B117))+(B118))+(B119))+(B120))+(B121)</f>
        <v>194497.14</v>
      </c>
      <c r="C122" s="77">
        <f>(((((((((C112)+(C113))+(C114))+(C115))+(C116))+(C117))+(C118))+(C119))+(C120))+(C121)</f>
        <v>0</v>
      </c>
      <c r="D122" s="77">
        <f t="shared" si="3"/>
        <v>194497.14</v>
      </c>
    </row>
    <row r="123" spans="1:4" x14ac:dyDescent="0.25">
      <c r="A123" s="75" t="s">
        <v>243</v>
      </c>
      <c r="B123" s="77">
        <f>B122</f>
        <v>194497.14</v>
      </c>
      <c r="C123" s="77">
        <f>C122</f>
        <v>0</v>
      </c>
      <c r="D123" s="77">
        <f t="shared" si="3"/>
        <v>194497.14</v>
      </c>
    </row>
    <row r="124" spans="1:4" x14ac:dyDescent="0.25">
      <c r="A124" s="75" t="s">
        <v>244</v>
      </c>
      <c r="B124" s="77">
        <f>(B110)-(B123)</f>
        <v>-31605.020000000019</v>
      </c>
      <c r="C124" s="77">
        <f>(C110)-(C123)</f>
        <v>0</v>
      </c>
      <c r="D124" s="77">
        <f t="shared" si="3"/>
        <v>-31605.020000000019</v>
      </c>
    </row>
    <row r="125" spans="1:4" x14ac:dyDescent="0.25">
      <c r="A125" s="75" t="s">
        <v>245</v>
      </c>
      <c r="B125" s="77">
        <f>(B94)+(B124)</f>
        <v>39948.989999999991</v>
      </c>
      <c r="C125" s="77">
        <f>(C94)+(C124)</f>
        <v>0</v>
      </c>
      <c r="D125" s="77">
        <f t="shared" si="3"/>
        <v>39948.989999999991</v>
      </c>
    </row>
    <row r="126" spans="1:4" x14ac:dyDescent="0.25">
      <c r="A126" s="75"/>
      <c r="B126" s="76"/>
      <c r="C126" s="76"/>
      <c r="D126" s="76"/>
    </row>
    <row r="129" spans="1:4" x14ac:dyDescent="0.25">
      <c r="A129" s="103" t="s">
        <v>314</v>
      </c>
      <c r="B129" s="101"/>
      <c r="C129" s="101"/>
      <c r="D129" s="101"/>
    </row>
  </sheetData>
  <mergeCells count="5">
    <mergeCell ref="A129:D129"/>
    <mergeCell ref="A1:D1"/>
    <mergeCell ref="A2:D2"/>
    <mergeCell ref="A3:D3"/>
    <mergeCell ref="B5:D5"/>
  </mergeCells>
  <pageMargins left="0.7" right="0.7" top="0.75" bottom="0.75" header="0.3" footer="0.3"/>
  <pageSetup scale="7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832B-68BD-4BFA-B2EF-6F8B4BDA3FCF}">
  <sheetPr>
    <pageSetUpPr fitToPage="1"/>
  </sheetPr>
  <dimension ref="A1:AN129"/>
  <sheetViews>
    <sheetView workbookViewId="0">
      <selection sqref="A1:AN1"/>
    </sheetView>
  </sheetViews>
  <sheetFormatPr defaultColWidth="8.85546875" defaultRowHeight="15" x14ac:dyDescent="0.25"/>
  <cols>
    <col min="1" max="1" width="43" style="86" customWidth="1"/>
    <col min="2" max="2" width="11.28515625" style="86" customWidth="1"/>
    <col min="3" max="3" width="9.42578125" style="86" customWidth="1"/>
    <col min="4" max="4" width="11.28515625" style="86" customWidth="1"/>
    <col min="5" max="5" width="10.28515625" style="86" customWidth="1"/>
    <col min="6" max="6" width="9.42578125" style="86" customWidth="1"/>
    <col min="7" max="8" width="11.28515625" style="86" customWidth="1"/>
    <col min="9" max="9" width="9.42578125" style="86" customWidth="1"/>
    <col min="10" max="11" width="11.28515625" style="86" customWidth="1"/>
    <col min="12" max="12" width="9.42578125" style="86" customWidth="1"/>
    <col min="13" max="13" width="11.28515625" style="86" customWidth="1"/>
    <col min="14" max="14" width="10.28515625" style="86" customWidth="1"/>
    <col min="15" max="15" width="9.42578125" style="86" customWidth="1"/>
    <col min="16" max="16" width="10.28515625" style="86" customWidth="1"/>
    <col min="17" max="18" width="9.42578125" style="86" customWidth="1"/>
    <col min="19" max="19" width="11.28515625" style="86" customWidth="1"/>
    <col min="20" max="21" width="9.42578125" style="86" customWidth="1"/>
    <col min="22" max="23" width="11.28515625" style="86" customWidth="1"/>
    <col min="24" max="24" width="9.42578125" style="86" customWidth="1"/>
    <col min="25" max="25" width="11.28515625" style="86" customWidth="1"/>
    <col min="26" max="26" width="10.28515625" style="86" customWidth="1"/>
    <col min="27" max="27" width="9.42578125" style="86" customWidth="1"/>
    <col min="28" max="29" width="11.28515625" style="86" customWidth="1"/>
    <col min="30" max="30" width="9.42578125" style="86" customWidth="1"/>
    <col min="31" max="31" width="11.28515625" style="86" customWidth="1"/>
    <col min="32" max="32" width="10.28515625" style="86" customWidth="1"/>
    <col min="33" max="33" width="9.42578125" style="86" customWidth="1"/>
    <col min="34" max="34" width="11.28515625" style="86" customWidth="1"/>
    <col min="35" max="35" width="10.28515625" style="86" customWidth="1"/>
    <col min="36" max="36" width="9.42578125" style="86" customWidth="1"/>
    <col min="37" max="38" width="11.28515625" style="86" customWidth="1"/>
    <col min="39" max="39" width="10.28515625" style="86" customWidth="1"/>
    <col min="40" max="40" width="11.28515625" style="86" customWidth="1"/>
    <col min="41" max="16384" width="8.85546875" style="86"/>
  </cols>
  <sheetData>
    <row r="1" spans="1:40" ht="18" x14ac:dyDescent="0.2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0" ht="18" x14ac:dyDescent="0.25">
      <c r="A2" s="100" t="s">
        <v>126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x14ac:dyDescent="0.25">
      <c r="A3" s="102" t="s">
        <v>127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x14ac:dyDescent="0.25">
      <c r="A5" s="93"/>
      <c r="B5" s="104" t="s">
        <v>270</v>
      </c>
      <c r="C5" s="106"/>
      <c r="D5" s="106"/>
      <c r="E5" s="104" t="s">
        <v>271</v>
      </c>
      <c r="F5" s="106"/>
      <c r="G5" s="106"/>
      <c r="H5" s="104" t="s">
        <v>272</v>
      </c>
      <c r="I5" s="106"/>
      <c r="J5" s="106"/>
      <c r="K5" s="104" t="s">
        <v>273</v>
      </c>
      <c r="L5" s="106"/>
      <c r="M5" s="106"/>
      <c r="N5" s="104" t="s">
        <v>274</v>
      </c>
      <c r="O5" s="106"/>
      <c r="P5" s="106"/>
      <c r="Q5" s="104" t="s">
        <v>275</v>
      </c>
      <c r="R5" s="106"/>
      <c r="S5" s="106"/>
      <c r="T5" s="104" t="s">
        <v>276</v>
      </c>
      <c r="U5" s="106"/>
      <c r="V5" s="106"/>
      <c r="W5" s="104" t="s">
        <v>277</v>
      </c>
      <c r="X5" s="106"/>
      <c r="Y5" s="106"/>
      <c r="Z5" s="104" t="s">
        <v>278</v>
      </c>
      <c r="AA5" s="106"/>
      <c r="AB5" s="106"/>
      <c r="AC5" s="104" t="s">
        <v>279</v>
      </c>
      <c r="AD5" s="106"/>
      <c r="AE5" s="106"/>
      <c r="AF5" s="104" t="s">
        <v>280</v>
      </c>
      <c r="AG5" s="106"/>
      <c r="AH5" s="106"/>
      <c r="AI5" s="104" t="s">
        <v>281</v>
      </c>
      <c r="AJ5" s="106"/>
      <c r="AK5" s="106"/>
      <c r="AL5" s="104" t="s">
        <v>44</v>
      </c>
      <c r="AM5" s="106"/>
      <c r="AN5" s="106"/>
    </row>
    <row r="6" spans="1:40" ht="24.75" x14ac:dyDescent="0.25">
      <c r="A6" s="93"/>
      <c r="B6" s="94" t="s">
        <v>128</v>
      </c>
      <c r="C6" s="94" t="s">
        <v>129</v>
      </c>
      <c r="D6" s="94" t="s">
        <v>130</v>
      </c>
      <c r="E6" s="94" t="s">
        <v>128</v>
      </c>
      <c r="F6" s="94" t="s">
        <v>129</v>
      </c>
      <c r="G6" s="94" t="s">
        <v>130</v>
      </c>
      <c r="H6" s="94" t="s">
        <v>128</v>
      </c>
      <c r="I6" s="94" t="s">
        <v>129</v>
      </c>
      <c r="J6" s="94" t="s">
        <v>130</v>
      </c>
      <c r="K6" s="94" t="s">
        <v>128</v>
      </c>
      <c r="L6" s="94" t="s">
        <v>129</v>
      </c>
      <c r="M6" s="94" t="s">
        <v>130</v>
      </c>
      <c r="N6" s="94" t="s">
        <v>128</v>
      </c>
      <c r="O6" s="94" t="s">
        <v>129</v>
      </c>
      <c r="P6" s="94" t="s">
        <v>130</v>
      </c>
      <c r="Q6" s="94" t="s">
        <v>128</v>
      </c>
      <c r="R6" s="94" t="s">
        <v>129</v>
      </c>
      <c r="S6" s="94" t="s">
        <v>130</v>
      </c>
      <c r="T6" s="94" t="s">
        <v>128</v>
      </c>
      <c r="U6" s="94" t="s">
        <v>129</v>
      </c>
      <c r="V6" s="94" t="s">
        <v>130</v>
      </c>
      <c r="W6" s="94" t="s">
        <v>128</v>
      </c>
      <c r="X6" s="94" t="s">
        <v>129</v>
      </c>
      <c r="Y6" s="94" t="s">
        <v>130</v>
      </c>
      <c r="Z6" s="94" t="s">
        <v>128</v>
      </c>
      <c r="AA6" s="94" t="s">
        <v>129</v>
      </c>
      <c r="AB6" s="94" t="s">
        <v>130</v>
      </c>
      <c r="AC6" s="94" t="s">
        <v>128</v>
      </c>
      <c r="AD6" s="94" t="s">
        <v>129</v>
      </c>
      <c r="AE6" s="94" t="s">
        <v>130</v>
      </c>
      <c r="AF6" s="94" t="s">
        <v>128</v>
      </c>
      <c r="AG6" s="94" t="s">
        <v>129</v>
      </c>
      <c r="AH6" s="94" t="s">
        <v>130</v>
      </c>
      <c r="AI6" s="94" t="s">
        <v>128</v>
      </c>
      <c r="AJ6" s="94" t="s">
        <v>129</v>
      </c>
      <c r="AK6" s="94" t="s">
        <v>130</v>
      </c>
      <c r="AL6" s="94" t="s">
        <v>128</v>
      </c>
      <c r="AM6" s="94" t="s">
        <v>129</v>
      </c>
      <c r="AN6" s="94" t="s">
        <v>130</v>
      </c>
    </row>
    <row r="7" spans="1:40" x14ac:dyDescent="0.25">
      <c r="A7" s="95" t="s">
        <v>131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40" x14ac:dyDescent="0.25">
      <c r="A8" s="95" t="s">
        <v>132</v>
      </c>
      <c r="B8" s="96"/>
      <c r="C8" s="97">
        <v>0</v>
      </c>
      <c r="D8" s="97">
        <v>0</v>
      </c>
      <c r="E8" s="96"/>
      <c r="F8" s="97">
        <v>0</v>
      </c>
      <c r="G8" s="97">
        <v>0</v>
      </c>
      <c r="H8" s="96"/>
      <c r="I8" s="97">
        <v>0</v>
      </c>
      <c r="J8" s="97">
        <v>0</v>
      </c>
      <c r="K8" s="96"/>
      <c r="L8" s="97">
        <v>0</v>
      </c>
      <c r="M8" s="97">
        <v>0</v>
      </c>
      <c r="N8" s="96"/>
      <c r="O8" s="97">
        <v>0</v>
      </c>
      <c r="P8" s="97">
        <v>0</v>
      </c>
      <c r="Q8" s="96"/>
      <c r="R8" s="97">
        <v>0</v>
      </c>
      <c r="S8" s="97">
        <v>0</v>
      </c>
      <c r="T8" s="96"/>
      <c r="U8" s="97">
        <v>0</v>
      </c>
      <c r="V8" s="97">
        <v>0</v>
      </c>
      <c r="W8" s="96"/>
      <c r="X8" s="97">
        <v>0</v>
      </c>
      <c r="Y8" s="97">
        <v>0</v>
      </c>
      <c r="Z8" s="96"/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6"/>
      <c r="AG8" s="97">
        <v>0</v>
      </c>
      <c r="AH8" s="97">
        <v>0</v>
      </c>
      <c r="AI8" s="96"/>
      <c r="AJ8" s="97">
        <v>0</v>
      </c>
      <c r="AK8" s="97">
        <v>0</v>
      </c>
      <c r="AL8" s="97">
        <v>0</v>
      </c>
      <c r="AM8" s="97">
        <v>0</v>
      </c>
      <c r="AN8" s="97">
        <v>0</v>
      </c>
    </row>
    <row r="9" spans="1:40" x14ac:dyDescent="0.25">
      <c r="A9" s="95" t="s">
        <v>133</v>
      </c>
      <c r="B9" s="96"/>
      <c r="C9" s="96"/>
      <c r="D9" s="97">
        <v>0</v>
      </c>
      <c r="E9" s="96"/>
      <c r="F9" s="96"/>
      <c r="G9" s="97">
        <v>0</v>
      </c>
      <c r="H9" s="96"/>
      <c r="I9" s="96"/>
      <c r="J9" s="97">
        <v>0</v>
      </c>
      <c r="K9" s="96"/>
      <c r="L9" s="96"/>
      <c r="M9" s="97">
        <v>0</v>
      </c>
      <c r="N9" s="96"/>
      <c r="O9" s="96"/>
      <c r="P9" s="97">
        <v>0</v>
      </c>
      <c r="Q9" s="96"/>
      <c r="R9" s="96"/>
      <c r="S9" s="97">
        <v>0</v>
      </c>
      <c r="T9" s="96"/>
      <c r="U9" s="96"/>
      <c r="V9" s="97">
        <v>0</v>
      </c>
      <c r="W9" s="96"/>
      <c r="X9" s="96"/>
      <c r="Y9" s="97">
        <v>0</v>
      </c>
      <c r="Z9" s="96"/>
      <c r="AA9" s="96"/>
      <c r="AB9" s="97">
        <v>0</v>
      </c>
      <c r="AC9" s="96"/>
      <c r="AD9" s="96"/>
      <c r="AE9" s="97">
        <v>0</v>
      </c>
      <c r="AF9" s="96"/>
      <c r="AG9" s="96"/>
      <c r="AH9" s="97">
        <v>0</v>
      </c>
      <c r="AI9" s="96"/>
      <c r="AJ9" s="96"/>
      <c r="AK9" s="97">
        <v>0</v>
      </c>
      <c r="AL9" s="97">
        <v>0</v>
      </c>
      <c r="AM9" s="97">
        <v>0</v>
      </c>
      <c r="AN9" s="97">
        <v>0</v>
      </c>
    </row>
    <row r="10" spans="1:40" x14ac:dyDescent="0.25">
      <c r="A10" s="95" t="s">
        <v>134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6"/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6"/>
      <c r="AA10" s="97">
        <v>0</v>
      </c>
      <c r="AB10" s="97">
        <v>0</v>
      </c>
      <c r="AC10" s="96"/>
      <c r="AD10" s="97">
        <v>0</v>
      </c>
      <c r="AE10" s="97">
        <v>0</v>
      </c>
      <c r="AF10" s="96"/>
      <c r="AG10" s="97">
        <v>0</v>
      </c>
      <c r="AH10" s="97">
        <v>0</v>
      </c>
      <c r="AI10" s="96"/>
      <c r="AJ10" s="97">
        <v>0</v>
      </c>
      <c r="AK10" s="97">
        <v>0</v>
      </c>
      <c r="AL10" s="97">
        <v>0</v>
      </c>
      <c r="AM10" s="97">
        <v>0</v>
      </c>
      <c r="AN10" s="97">
        <v>0</v>
      </c>
    </row>
    <row r="11" spans="1:40" x14ac:dyDescent="0.25">
      <c r="A11" s="95" t="s">
        <v>135</v>
      </c>
      <c r="B11" s="96"/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6"/>
      <c r="L11" s="97">
        <v>0</v>
      </c>
      <c r="M11" s="97">
        <v>0</v>
      </c>
      <c r="N11" s="96"/>
      <c r="O11" s="97">
        <v>0</v>
      </c>
      <c r="P11" s="97">
        <v>0</v>
      </c>
      <c r="Q11" s="96"/>
      <c r="R11" s="97">
        <v>0</v>
      </c>
      <c r="S11" s="97">
        <v>0</v>
      </c>
      <c r="T11" s="96"/>
      <c r="U11" s="97">
        <v>0</v>
      </c>
      <c r="V11" s="97">
        <v>0</v>
      </c>
      <c r="W11" s="96"/>
      <c r="X11" s="97">
        <v>0</v>
      </c>
      <c r="Y11" s="97">
        <v>0</v>
      </c>
      <c r="Z11" s="96"/>
      <c r="AA11" s="97">
        <v>0</v>
      </c>
      <c r="AB11" s="97">
        <v>0</v>
      </c>
      <c r="AC11" s="96"/>
      <c r="AD11" s="97">
        <v>0</v>
      </c>
      <c r="AE11" s="97">
        <v>0</v>
      </c>
      <c r="AF11" s="96"/>
      <c r="AG11" s="97">
        <v>0</v>
      </c>
      <c r="AH11" s="97">
        <v>0</v>
      </c>
      <c r="AI11" s="96"/>
      <c r="AJ11" s="97">
        <v>0</v>
      </c>
      <c r="AK11" s="97">
        <v>0</v>
      </c>
      <c r="AL11" s="97">
        <v>0</v>
      </c>
      <c r="AM11" s="97">
        <v>0</v>
      </c>
      <c r="AN11" s="97">
        <v>0</v>
      </c>
    </row>
    <row r="12" spans="1:40" x14ac:dyDescent="0.25">
      <c r="A12" s="95" t="s">
        <v>136</v>
      </c>
      <c r="B12" s="96"/>
      <c r="C12" s="97">
        <v>0</v>
      </c>
      <c r="D12" s="97">
        <v>0</v>
      </c>
      <c r="E12" s="96"/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6"/>
      <c r="AA12" s="97">
        <v>0</v>
      </c>
      <c r="AB12" s="97">
        <v>0</v>
      </c>
      <c r="AC12" s="96"/>
      <c r="AD12" s="97">
        <v>0</v>
      </c>
      <c r="AE12" s="97">
        <v>0</v>
      </c>
      <c r="AF12" s="96"/>
      <c r="AG12" s="97">
        <v>0</v>
      </c>
      <c r="AH12" s="97">
        <v>0</v>
      </c>
      <c r="AI12" s="96"/>
      <c r="AJ12" s="97">
        <v>0</v>
      </c>
      <c r="AK12" s="97">
        <v>0</v>
      </c>
      <c r="AL12" s="97">
        <v>0</v>
      </c>
      <c r="AM12" s="97">
        <v>0</v>
      </c>
      <c r="AN12" s="97">
        <v>0</v>
      </c>
    </row>
    <row r="13" spans="1:40" x14ac:dyDescent="0.25">
      <c r="A13" s="95" t="s">
        <v>137</v>
      </c>
      <c r="B13" s="96"/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6"/>
      <c r="AG13" s="97">
        <v>0</v>
      </c>
      <c r="AH13" s="97">
        <v>0</v>
      </c>
      <c r="AI13" s="96"/>
      <c r="AJ13" s="97">
        <v>0</v>
      </c>
      <c r="AK13" s="97">
        <v>0</v>
      </c>
      <c r="AL13" s="97">
        <v>0</v>
      </c>
      <c r="AM13" s="97">
        <v>0</v>
      </c>
      <c r="AN13" s="97">
        <v>0</v>
      </c>
    </row>
    <row r="14" spans="1:40" x14ac:dyDescent="0.25">
      <c r="A14" s="95" t="s">
        <v>138</v>
      </c>
      <c r="B14" s="96"/>
      <c r="C14" s="96"/>
      <c r="D14" s="97">
        <v>0</v>
      </c>
      <c r="E14" s="96"/>
      <c r="F14" s="96"/>
      <c r="G14" s="97">
        <v>0</v>
      </c>
      <c r="H14" s="96"/>
      <c r="I14" s="96"/>
      <c r="J14" s="97">
        <v>0</v>
      </c>
      <c r="K14" s="97">
        <v>0</v>
      </c>
      <c r="L14" s="96"/>
      <c r="M14" s="97">
        <v>0</v>
      </c>
      <c r="N14" s="97">
        <v>0</v>
      </c>
      <c r="O14" s="96"/>
      <c r="P14" s="97">
        <v>0</v>
      </c>
      <c r="Q14" s="97">
        <v>0</v>
      </c>
      <c r="R14" s="96"/>
      <c r="S14" s="97">
        <v>0</v>
      </c>
      <c r="T14" s="97">
        <v>0</v>
      </c>
      <c r="U14" s="96"/>
      <c r="V14" s="97">
        <v>0</v>
      </c>
      <c r="W14" s="97">
        <v>0</v>
      </c>
      <c r="X14" s="96"/>
      <c r="Y14" s="97">
        <v>0</v>
      </c>
      <c r="Z14" s="97">
        <v>0</v>
      </c>
      <c r="AA14" s="96"/>
      <c r="AB14" s="97">
        <v>0</v>
      </c>
      <c r="AC14" s="96"/>
      <c r="AD14" s="96"/>
      <c r="AE14" s="97">
        <v>0</v>
      </c>
      <c r="AF14" s="96"/>
      <c r="AG14" s="96"/>
      <c r="AH14" s="97">
        <v>0</v>
      </c>
      <c r="AI14" s="96"/>
      <c r="AJ14" s="96"/>
      <c r="AK14" s="97">
        <v>0</v>
      </c>
      <c r="AL14" s="97">
        <v>0</v>
      </c>
      <c r="AM14" s="97">
        <v>0</v>
      </c>
      <c r="AN14" s="97">
        <v>0</v>
      </c>
    </row>
    <row r="15" spans="1:40" x14ac:dyDescent="0.25">
      <c r="A15" s="95" t="s">
        <v>139</v>
      </c>
      <c r="B15" s="96"/>
      <c r="C15" s="97">
        <v>0</v>
      </c>
      <c r="D15" s="97">
        <v>0</v>
      </c>
      <c r="E15" s="96"/>
      <c r="F15" s="97">
        <v>0</v>
      </c>
      <c r="G15" s="97">
        <v>0</v>
      </c>
      <c r="H15" s="96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6"/>
      <c r="O15" s="97">
        <v>0</v>
      </c>
      <c r="P15" s="97">
        <v>0</v>
      </c>
      <c r="Q15" s="96"/>
      <c r="R15" s="97">
        <v>0</v>
      </c>
      <c r="S15" s="97">
        <v>0</v>
      </c>
      <c r="T15" s="96"/>
      <c r="U15" s="97">
        <v>0</v>
      </c>
      <c r="V15" s="97">
        <v>0</v>
      </c>
      <c r="W15" s="96"/>
      <c r="X15" s="97">
        <v>0</v>
      </c>
      <c r="Y15" s="97">
        <v>0</v>
      </c>
      <c r="Z15" s="96"/>
      <c r="AA15" s="97">
        <v>0</v>
      </c>
      <c r="AB15" s="97">
        <v>0</v>
      </c>
      <c r="AC15" s="96"/>
      <c r="AD15" s="97">
        <v>0</v>
      </c>
      <c r="AE15" s="97">
        <v>0</v>
      </c>
      <c r="AF15" s="96"/>
      <c r="AG15" s="97">
        <v>0</v>
      </c>
      <c r="AH15" s="97">
        <v>0</v>
      </c>
      <c r="AI15" s="96"/>
      <c r="AJ15" s="97">
        <v>0</v>
      </c>
      <c r="AK15" s="97">
        <v>0</v>
      </c>
      <c r="AL15" s="97">
        <v>0</v>
      </c>
      <c r="AM15" s="97">
        <v>0</v>
      </c>
      <c r="AN15" s="97">
        <v>0</v>
      </c>
    </row>
    <row r="16" spans="1:40" x14ac:dyDescent="0.25">
      <c r="A16" s="95" t="s">
        <v>140</v>
      </c>
      <c r="B16" s="96"/>
      <c r="C16" s="96"/>
      <c r="D16" s="97">
        <v>0</v>
      </c>
      <c r="E16" s="96"/>
      <c r="F16" s="96"/>
      <c r="G16" s="97">
        <v>0</v>
      </c>
      <c r="H16" s="96"/>
      <c r="I16" s="96"/>
      <c r="J16" s="97">
        <v>0</v>
      </c>
      <c r="K16" s="96"/>
      <c r="L16" s="96"/>
      <c r="M16" s="97">
        <v>0</v>
      </c>
      <c r="N16" s="96"/>
      <c r="O16" s="96"/>
      <c r="P16" s="97">
        <v>0</v>
      </c>
      <c r="Q16" s="96"/>
      <c r="R16" s="96"/>
      <c r="S16" s="97">
        <v>0</v>
      </c>
      <c r="T16" s="96"/>
      <c r="U16" s="96"/>
      <c r="V16" s="97">
        <v>0</v>
      </c>
      <c r="W16" s="96"/>
      <c r="X16" s="96"/>
      <c r="Y16" s="97">
        <v>0</v>
      </c>
      <c r="Z16" s="96"/>
      <c r="AA16" s="96"/>
      <c r="AB16" s="97">
        <v>0</v>
      </c>
      <c r="AC16" s="96"/>
      <c r="AD16" s="96"/>
      <c r="AE16" s="97">
        <v>0</v>
      </c>
      <c r="AF16" s="96"/>
      <c r="AG16" s="96"/>
      <c r="AH16" s="97">
        <v>0</v>
      </c>
      <c r="AI16" s="96"/>
      <c r="AJ16" s="96"/>
      <c r="AK16" s="97">
        <v>0</v>
      </c>
      <c r="AL16" s="97">
        <v>0</v>
      </c>
      <c r="AM16" s="97">
        <v>0</v>
      </c>
      <c r="AN16" s="97">
        <v>0</v>
      </c>
    </row>
    <row r="17" spans="1:40" x14ac:dyDescent="0.25">
      <c r="A17" s="95" t="s">
        <v>141</v>
      </c>
      <c r="B17" s="96"/>
      <c r="C17" s="97">
        <v>0</v>
      </c>
      <c r="D17" s="97">
        <v>0</v>
      </c>
      <c r="E17" s="96"/>
      <c r="F17" s="97">
        <v>0</v>
      </c>
      <c r="G17" s="97">
        <v>0</v>
      </c>
      <c r="H17" s="96"/>
      <c r="I17" s="97">
        <v>0</v>
      </c>
      <c r="J17" s="97">
        <v>0</v>
      </c>
      <c r="K17" s="96"/>
      <c r="L17" s="97">
        <v>0</v>
      </c>
      <c r="M17" s="97">
        <v>0</v>
      </c>
      <c r="N17" s="96"/>
      <c r="O17" s="97">
        <v>0</v>
      </c>
      <c r="P17" s="97">
        <v>0</v>
      </c>
      <c r="Q17" s="96"/>
      <c r="R17" s="97">
        <v>0</v>
      </c>
      <c r="S17" s="97">
        <v>0</v>
      </c>
      <c r="T17" s="96"/>
      <c r="U17" s="97">
        <v>0</v>
      </c>
      <c r="V17" s="97">
        <v>0</v>
      </c>
      <c r="W17" s="96"/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6"/>
      <c r="AD17" s="97">
        <v>0</v>
      </c>
      <c r="AE17" s="97">
        <v>0</v>
      </c>
      <c r="AF17" s="96"/>
      <c r="AG17" s="97">
        <v>0</v>
      </c>
      <c r="AH17" s="97">
        <v>0</v>
      </c>
      <c r="AI17" s="96"/>
      <c r="AJ17" s="97">
        <v>0</v>
      </c>
      <c r="AK17" s="97">
        <v>0</v>
      </c>
      <c r="AL17" s="97">
        <v>0</v>
      </c>
      <c r="AM17" s="97">
        <v>0</v>
      </c>
      <c r="AN17" s="97">
        <v>0</v>
      </c>
    </row>
    <row r="18" spans="1:40" x14ac:dyDescent="0.25">
      <c r="A18" s="95" t="s">
        <v>142</v>
      </c>
      <c r="B18" s="96"/>
      <c r="C18" s="97">
        <v>0</v>
      </c>
      <c r="D18" s="97">
        <v>0</v>
      </c>
      <c r="E18" s="96"/>
      <c r="F18" s="97">
        <v>0</v>
      </c>
      <c r="G18" s="97">
        <v>0</v>
      </c>
      <c r="H18" s="96"/>
      <c r="I18" s="97">
        <v>0</v>
      </c>
      <c r="J18" s="97">
        <v>0</v>
      </c>
      <c r="K18" s="96"/>
      <c r="L18" s="97">
        <v>0</v>
      </c>
      <c r="M18" s="97">
        <v>0</v>
      </c>
      <c r="N18" s="96"/>
      <c r="O18" s="97">
        <v>0</v>
      </c>
      <c r="P18" s="97">
        <v>0</v>
      </c>
      <c r="Q18" s="96"/>
      <c r="R18" s="97">
        <v>0</v>
      </c>
      <c r="S18" s="97">
        <v>0</v>
      </c>
      <c r="T18" s="96"/>
      <c r="U18" s="97">
        <v>0</v>
      </c>
      <c r="V18" s="97">
        <v>0</v>
      </c>
      <c r="W18" s="96"/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6"/>
      <c r="AG18" s="97">
        <v>0</v>
      </c>
      <c r="AH18" s="97">
        <v>0</v>
      </c>
      <c r="AI18" s="96"/>
      <c r="AJ18" s="97">
        <v>0</v>
      </c>
      <c r="AK18" s="97">
        <v>0</v>
      </c>
      <c r="AL18" s="97">
        <v>0</v>
      </c>
      <c r="AM18" s="97">
        <v>0</v>
      </c>
      <c r="AN18" s="97">
        <v>0</v>
      </c>
    </row>
    <row r="19" spans="1:40" x14ac:dyDescent="0.25">
      <c r="A19" s="95" t="s">
        <v>143</v>
      </c>
      <c r="B19" s="96"/>
      <c r="C19" s="97">
        <v>0</v>
      </c>
      <c r="D19" s="97">
        <v>0</v>
      </c>
      <c r="E19" s="96"/>
      <c r="F19" s="97">
        <v>0</v>
      </c>
      <c r="G19" s="97">
        <v>0</v>
      </c>
      <c r="H19" s="96"/>
      <c r="I19" s="97">
        <v>0</v>
      </c>
      <c r="J19" s="97">
        <v>0</v>
      </c>
      <c r="K19" s="96"/>
      <c r="L19" s="97">
        <v>0</v>
      </c>
      <c r="M19" s="97">
        <v>0</v>
      </c>
      <c r="N19" s="96"/>
      <c r="O19" s="97">
        <v>0</v>
      </c>
      <c r="P19" s="97">
        <v>0</v>
      </c>
      <c r="Q19" s="96"/>
      <c r="R19" s="97">
        <v>0</v>
      </c>
      <c r="S19" s="97">
        <v>0</v>
      </c>
      <c r="T19" s="96"/>
      <c r="U19" s="97">
        <v>0</v>
      </c>
      <c r="V19" s="97">
        <v>0</v>
      </c>
      <c r="W19" s="96"/>
      <c r="X19" s="97">
        <v>0</v>
      </c>
      <c r="Y19" s="97">
        <v>0</v>
      </c>
      <c r="Z19" s="96"/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6"/>
      <c r="AG19" s="97">
        <v>0</v>
      </c>
      <c r="AH19" s="97">
        <v>0</v>
      </c>
      <c r="AI19" s="96"/>
      <c r="AJ19" s="97">
        <v>0</v>
      </c>
      <c r="AK19" s="97">
        <v>0</v>
      </c>
      <c r="AL19" s="97">
        <v>0</v>
      </c>
      <c r="AM19" s="97">
        <v>0</v>
      </c>
      <c r="AN19" s="97">
        <v>0</v>
      </c>
    </row>
    <row r="20" spans="1:40" x14ac:dyDescent="0.25">
      <c r="A20" s="95" t="s">
        <v>144</v>
      </c>
      <c r="B20" s="96"/>
      <c r="C20" s="97">
        <v>0</v>
      </c>
      <c r="D20" s="97">
        <v>0</v>
      </c>
      <c r="E20" s="96"/>
      <c r="F20" s="97">
        <v>0</v>
      </c>
      <c r="G20" s="97">
        <v>0</v>
      </c>
      <c r="H20" s="96"/>
      <c r="I20" s="97">
        <v>0</v>
      </c>
      <c r="J20" s="97">
        <v>0</v>
      </c>
      <c r="K20" s="96"/>
      <c r="L20" s="97">
        <v>0</v>
      </c>
      <c r="M20" s="97">
        <v>0</v>
      </c>
      <c r="N20" s="96"/>
      <c r="O20" s="97">
        <v>0</v>
      </c>
      <c r="P20" s="97">
        <v>0</v>
      </c>
      <c r="Q20" s="96"/>
      <c r="R20" s="97">
        <v>0</v>
      </c>
      <c r="S20" s="97">
        <v>0</v>
      </c>
      <c r="T20" s="96"/>
      <c r="U20" s="97">
        <v>0</v>
      </c>
      <c r="V20" s="97">
        <v>0</v>
      </c>
      <c r="W20" s="96"/>
      <c r="X20" s="97">
        <v>0</v>
      </c>
      <c r="Y20" s="97">
        <v>0</v>
      </c>
      <c r="Z20" s="96"/>
      <c r="AA20" s="97">
        <v>0</v>
      </c>
      <c r="AB20" s="97">
        <v>0</v>
      </c>
      <c r="AC20" s="96"/>
      <c r="AD20" s="97">
        <v>0</v>
      </c>
      <c r="AE20" s="97">
        <v>0</v>
      </c>
      <c r="AF20" s="96"/>
      <c r="AG20" s="97">
        <v>0</v>
      </c>
      <c r="AH20" s="97">
        <v>0</v>
      </c>
      <c r="AI20" s="96"/>
      <c r="AJ20" s="97">
        <v>0</v>
      </c>
      <c r="AK20" s="97">
        <v>0</v>
      </c>
      <c r="AL20" s="97">
        <v>0</v>
      </c>
      <c r="AM20" s="97">
        <v>0</v>
      </c>
      <c r="AN20" s="97">
        <v>0</v>
      </c>
    </row>
    <row r="21" spans="1:40" x14ac:dyDescent="0.25">
      <c r="A21" s="95" t="s">
        <v>145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</row>
    <row r="22" spans="1:40" x14ac:dyDescent="0.25">
      <c r="A22" s="95" t="s">
        <v>250</v>
      </c>
      <c r="B22" s="96"/>
      <c r="C22" s="96"/>
      <c r="D22" s="97">
        <v>0</v>
      </c>
      <c r="E22" s="96"/>
      <c r="F22" s="96"/>
      <c r="G22" s="97">
        <v>0</v>
      </c>
      <c r="H22" s="96"/>
      <c r="I22" s="96"/>
      <c r="J22" s="97">
        <v>0</v>
      </c>
      <c r="K22" s="96"/>
      <c r="L22" s="96"/>
      <c r="M22" s="97">
        <v>0</v>
      </c>
      <c r="N22" s="96"/>
      <c r="O22" s="96"/>
      <c r="P22" s="97">
        <v>0</v>
      </c>
      <c r="Q22" s="97">
        <v>0</v>
      </c>
      <c r="R22" s="96"/>
      <c r="S22" s="97">
        <v>0</v>
      </c>
      <c r="T22" s="96"/>
      <c r="U22" s="96"/>
      <c r="V22" s="97">
        <v>0</v>
      </c>
      <c r="W22" s="96"/>
      <c r="X22" s="96"/>
      <c r="Y22" s="97">
        <v>0</v>
      </c>
      <c r="Z22" s="96"/>
      <c r="AA22" s="96"/>
      <c r="AB22" s="97">
        <v>0</v>
      </c>
      <c r="AC22" s="96"/>
      <c r="AD22" s="96"/>
      <c r="AE22" s="97">
        <v>0</v>
      </c>
      <c r="AF22" s="96"/>
      <c r="AG22" s="96"/>
      <c r="AH22" s="97">
        <v>0</v>
      </c>
      <c r="AI22" s="96"/>
      <c r="AJ22" s="96"/>
      <c r="AK22" s="97">
        <v>0</v>
      </c>
      <c r="AL22" s="97">
        <v>0</v>
      </c>
      <c r="AM22" s="97">
        <v>0</v>
      </c>
      <c r="AN22" s="97">
        <v>0</v>
      </c>
    </row>
    <row r="23" spans="1:40" x14ac:dyDescent="0.25">
      <c r="A23" s="95" t="s">
        <v>146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</row>
    <row r="24" spans="1:40" x14ac:dyDescent="0.25">
      <c r="A24" s="95" t="s">
        <v>147</v>
      </c>
      <c r="B24" s="96"/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6"/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6"/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6"/>
      <c r="X24" s="97">
        <v>0</v>
      </c>
      <c r="Y24" s="97">
        <v>0</v>
      </c>
      <c r="Z24" s="96"/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6"/>
      <c r="AG24" s="97">
        <v>0</v>
      </c>
      <c r="AH24" s="97">
        <v>0</v>
      </c>
      <c r="AI24" s="96"/>
      <c r="AJ24" s="97">
        <v>0</v>
      </c>
      <c r="AK24" s="97">
        <v>0</v>
      </c>
      <c r="AL24" s="97">
        <v>0</v>
      </c>
      <c r="AM24" s="97">
        <v>0</v>
      </c>
      <c r="AN24" s="97">
        <v>0</v>
      </c>
    </row>
    <row r="25" spans="1:40" x14ac:dyDescent="0.25">
      <c r="A25" s="95" t="s">
        <v>148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6"/>
      <c r="AJ25" s="97">
        <v>0</v>
      </c>
      <c r="AK25" s="97">
        <v>0</v>
      </c>
      <c r="AL25" s="97">
        <v>0</v>
      </c>
      <c r="AM25" s="97">
        <v>0</v>
      </c>
      <c r="AN25" s="97">
        <v>0</v>
      </c>
    </row>
    <row r="26" spans="1:40" x14ac:dyDescent="0.25">
      <c r="A26" s="95" t="s">
        <v>149</v>
      </c>
      <c r="B26" s="97">
        <v>0</v>
      </c>
      <c r="C26" s="96"/>
      <c r="D26" s="97">
        <v>0</v>
      </c>
      <c r="E26" s="96"/>
      <c r="F26" s="96"/>
      <c r="G26" s="97">
        <v>0</v>
      </c>
      <c r="H26" s="96"/>
      <c r="I26" s="96"/>
      <c r="J26" s="97">
        <v>0</v>
      </c>
      <c r="K26" s="96"/>
      <c r="L26" s="96"/>
      <c r="M26" s="97">
        <v>0</v>
      </c>
      <c r="N26" s="96"/>
      <c r="O26" s="96"/>
      <c r="P26" s="97">
        <v>0</v>
      </c>
      <c r="Q26" s="96"/>
      <c r="R26" s="96"/>
      <c r="S26" s="97">
        <v>0</v>
      </c>
      <c r="T26" s="97">
        <v>0</v>
      </c>
      <c r="U26" s="96"/>
      <c r="V26" s="97">
        <v>0</v>
      </c>
      <c r="W26" s="96"/>
      <c r="X26" s="96"/>
      <c r="Y26" s="97">
        <v>0</v>
      </c>
      <c r="Z26" s="96"/>
      <c r="AA26" s="96"/>
      <c r="AB26" s="97">
        <v>0</v>
      </c>
      <c r="AC26" s="96"/>
      <c r="AD26" s="96"/>
      <c r="AE26" s="97">
        <v>0</v>
      </c>
      <c r="AF26" s="96"/>
      <c r="AG26" s="96"/>
      <c r="AH26" s="97">
        <v>0</v>
      </c>
      <c r="AI26" s="96"/>
      <c r="AJ26" s="96"/>
      <c r="AK26" s="97">
        <v>0</v>
      </c>
      <c r="AL26" s="97">
        <v>0</v>
      </c>
      <c r="AM26" s="97">
        <v>0</v>
      </c>
      <c r="AN26" s="97">
        <v>0</v>
      </c>
    </row>
    <row r="27" spans="1:40" x14ac:dyDescent="0.25">
      <c r="A27" s="95" t="s">
        <v>288</v>
      </c>
      <c r="B27" s="96"/>
      <c r="C27" s="96"/>
      <c r="D27" s="97">
        <v>0</v>
      </c>
      <c r="E27" s="96"/>
      <c r="F27" s="96"/>
      <c r="G27" s="97">
        <v>0</v>
      </c>
      <c r="H27" s="96"/>
      <c r="I27" s="96"/>
      <c r="J27" s="97">
        <v>0</v>
      </c>
      <c r="K27" s="96"/>
      <c r="L27" s="96"/>
      <c r="M27" s="97">
        <v>0</v>
      </c>
      <c r="N27" s="96"/>
      <c r="O27" s="96"/>
      <c r="P27" s="97">
        <v>0</v>
      </c>
      <c r="Q27" s="96"/>
      <c r="R27" s="96"/>
      <c r="S27" s="97">
        <v>0</v>
      </c>
      <c r="T27" s="96"/>
      <c r="U27" s="96"/>
      <c r="V27" s="97">
        <v>0</v>
      </c>
      <c r="W27" s="96"/>
      <c r="X27" s="96"/>
      <c r="Y27" s="97">
        <v>0</v>
      </c>
      <c r="Z27" s="97">
        <v>0</v>
      </c>
      <c r="AA27" s="96"/>
      <c r="AB27" s="97">
        <v>0</v>
      </c>
      <c r="AC27" s="96"/>
      <c r="AD27" s="96"/>
      <c r="AE27" s="97">
        <v>0</v>
      </c>
      <c r="AF27" s="96"/>
      <c r="AG27" s="96"/>
      <c r="AH27" s="97">
        <v>0</v>
      </c>
      <c r="AI27" s="96"/>
      <c r="AJ27" s="96"/>
      <c r="AK27" s="97">
        <v>0</v>
      </c>
      <c r="AL27" s="97">
        <v>0</v>
      </c>
      <c r="AM27" s="97">
        <v>0</v>
      </c>
      <c r="AN27" s="97">
        <v>0</v>
      </c>
    </row>
    <row r="28" spans="1:40" x14ac:dyDescent="0.25">
      <c r="A28" s="95" t="s">
        <v>150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</row>
    <row r="29" spans="1:40" x14ac:dyDescent="0.25">
      <c r="A29" s="95" t="s">
        <v>151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</row>
    <row r="30" spans="1:40" x14ac:dyDescent="0.25">
      <c r="A30" s="95" t="s">
        <v>152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</row>
    <row r="31" spans="1:40" x14ac:dyDescent="0.25">
      <c r="A31" s="95" t="s">
        <v>153</v>
      </c>
      <c r="B31" s="96"/>
      <c r="C31" s="96"/>
      <c r="D31" s="97">
        <v>0</v>
      </c>
      <c r="E31" s="96"/>
      <c r="F31" s="96"/>
      <c r="G31" s="97">
        <v>0</v>
      </c>
      <c r="H31" s="96"/>
      <c r="I31" s="96"/>
      <c r="J31" s="97">
        <v>0</v>
      </c>
      <c r="K31" s="96"/>
      <c r="L31" s="96"/>
      <c r="M31" s="97">
        <v>0</v>
      </c>
      <c r="N31" s="96"/>
      <c r="O31" s="96"/>
      <c r="P31" s="97">
        <v>0</v>
      </c>
      <c r="Q31" s="96"/>
      <c r="R31" s="96"/>
      <c r="S31" s="97">
        <v>0</v>
      </c>
      <c r="T31" s="96"/>
      <c r="U31" s="96"/>
      <c r="V31" s="97">
        <v>0</v>
      </c>
      <c r="W31" s="96"/>
      <c r="X31" s="96"/>
      <c r="Y31" s="97">
        <v>0</v>
      </c>
      <c r="Z31" s="96"/>
      <c r="AA31" s="96"/>
      <c r="AB31" s="97">
        <v>0</v>
      </c>
      <c r="AC31" s="96"/>
      <c r="AD31" s="96"/>
      <c r="AE31" s="97">
        <v>0</v>
      </c>
      <c r="AF31" s="96"/>
      <c r="AG31" s="96"/>
      <c r="AH31" s="97">
        <v>0</v>
      </c>
      <c r="AI31" s="96"/>
      <c r="AJ31" s="96"/>
      <c r="AK31" s="97">
        <v>0</v>
      </c>
      <c r="AL31" s="97">
        <v>0</v>
      </c>
      <c r="AM31" s="97">
        <v>0</v>
      </c>
      <c r="AN31" s="97">
        <v>0</v>
      </c>
    </row>
    <row r="32" spans="1:40" x14ac:dyDescent="0.25">
      <c r="A32" s="95" t="s">
        <v>154</v>
      </c>
      <c r="B32" s="97">
        <v>0</v>
      </c>
      <c r="C32" s="97">
        <v>0</v>
      </c>
      <c r="D32" s="97">
        <v>0</v>
      </c>
      <c r="E32" s="96"/>
      <c r="F32" s="97">
        <v>0</v>
      </c>
      <c r="G32" s="97">
        <v>0</v>
      </c>
      <c r="H32" s="96"/>
      <c r="I32" s="97">
        <v>0</v>
      </c>
      <c r="J32" s="97">
        <v>0</v>
      </c>
      <c r="K32" s="96"/>
      <c r="L32" s="97">
        <v>0</v>
      </c>
      <c r="M32" s="97">
        <v>0</v>
      </c>
      <c r="N32" s="96"/>
      <c r="O32" s="97">
        <v>0</v>
      </c>
      <c r="P32" s="97">
        <v>0</v>
      </c>
      <c r="Q32" s="96"/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6"/>
      <c r="X32" s="97">
        <v>0</v>
      </c>
      <c r="Y32" s="97">
        <v>0</v>
      </c>
      <c r="Z32" s="96"/>
      <c r="AA32" s="97">
        <v>0</v>
      </c>
      <c r="AB32" s="97">
        <v>0</v>
      </c>
      <c r="AC32" s="96"/>
      <c r="AD32" s="97">
        <v>0</v>
      </c>
      <c r="AE32" s="97">
        <v>0</v>
      </c>
      <c r="AF32" s="96"/>
      <c r="AG32" s="97">
        <v>0</v>
      </c>
      <c r="AH32" s="97">
        <v>0</v>
      </c>
      <c r="AI32" s="96"/>
      <c r="AJ32" s="97">
        <v>0</v>
      </c>
      <c r="AK32" s="97">
        <v>0</v>
      </c>
      <c r="AL32" s="97">
        <v>0</v>
      </c>
      <c r="AM32" s="97">
        <v>0</v>
      </c>
      <c r="AN32" s="97">
        <v>0</v>
      </c>
    </row>
    <row r="33" spans="1:40" x14ac:dyDescent="0.25">
      <c r="A33" s="95" t="s">
        <v>155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6"/>
      <c r="R33" s="97">
        <v>0</v>
      </c>
      <c r="S33" s="97">
        <v>0</v>
      </c>
      <c r="T33" s="96"/>
      <c r="U33" s="97">
        <v>0</v>
      </c>
      <c r="V33" s="97">
        <v>0</v>
      </c>
      <c r="W33" s="96"/>
      <c r="X33" s="97">
        <v>0</v>
      </c>
      <c r="Y33" s="97">
        <v>0</v>
      </c>
      <c r="Z33" s="96"/>
      <c r="AA33" s="97">
        <v>0</v>
      </c>
      <c r="AB33" s="97">
        <v>0</v>
      </c>
      <c r="AC33" s="96"/>
      <c r="AD33" s="97">
        <v>0</v>
      </c>
      <c r="AE33" s="97">
        <v>0</v>
      </c>
      <c r="AF33" s="96"/>
      <c r="AG33" s="97">
        <v>0</v>
      </c>
      <c r="AH33" s="97">
        <v>0</v>
      </c>
      <c r="AI33" s="96"/>
      <c r="AJ33" s="97">
        <v>0</v>
      </c>
      <c r="AK33" s="97">
        <v>0</v>
      </c>
      <c r="AL33" s="97">
        <v>0</v>
      </c>
      <c r="AM33" s="97">
        <v>0</v>
      </c>
      <c r="AN33" s="97">
        <v>0</v>
      </c>
    </row>
    <row r="34" spans="1:40" x14ac:dyDescent="0.25">
      <c r="A34" s="95" t="s">
        <v>156</v>
      </c>
      <c r="B34" s="97">
        <v>0</v>
      </c>
      <c r="C34" s="97">
        <v>0</v>
      </c>
      <c r="D34" s="97">
        <v>0</v>
      </c>
      <c r="E34" s="96"/>
      <c r="F34" s="97">
        <v>0</v>
      </c>
      <c r="G34" s="97">
        <v>0</v>
      </c>
      <c r="H34" s="96"/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6"/>
      <c r="O34" s="97">
        <v>0</v>
      </c>
      <c r="P34" s="97">
        <v>0</v>
      </c>
      <c r="Q34" s="96"/>
      <c r="R34" s="97">
        <v>0</v>
      </c>
      <c r="S34" s="97">
        <v>0</v>
      </c>
      <c r="T34" s="96"/>
      <c r="U34" s="97">
        <v>0</v>
      </c>
      <c r="V34" s="97">
        <v>0</v>
      </c>
      <c r="W34" s="96"/>
      <c r="X34" s="97">
        <v>0</v>
      </c>
      <c r="Y34" s="97">
        <v>0</v>
      </c>
      <c r="Z34" s="96"/>
      <c r="AA34" s="97">
        <v>0</v>
      </c>
      <c r="AB34" s="97">
        <v>0</v>
      </c>
      <c r="AC34" s="96"/>
      <c r="AD34" s="97">
        <v>0</v>
      </c>
      <c r="AE34" s="97">
        <v>0</v>
      </c>
      <c r="AF34" s="96"/>
      <c r="AG34" s="97">
        <v>0</v>
      </c>
      <c r="AH34" s="97">
        <v>0</v>
      </c>
      <c r="AI34" s="96"/>
      <c r="AJ34" s="97">
        <v>0</v>
      </c>
      <c r="AK34" s="97">
        <v>0</v>
      </c>
      <c r="AL34" s="97">
        <v>0</v>
      </c>
      <c r="AM34" s="97">
        <v>0</v>
      </c>
      <c r="AN34" s="97">
        <v>0</v>
      </c>
    </row>
    <row r="35" spans="1:40" x14ac:dyDescent="0.25">
      <c r="A35" s="95" t="s">
        <v>157</v>
      </c>
      <c r="B35" s="97">
        <v>0</v>
      </c>
      <c r="C35" s="97">
        <v>0</v>
      </c>
      <c r="D35" s="97">
        <v>0</v>
      </c>
      <c r="E35" s="96"/>
      <c r="F35" s="97">
        <v>0</v>
      </c>
      <c r="G35" s="97">
        <v>0</v>
      </c>
      <c r="H35" s="96"/>
      <c r="I35" s="97">
        <v>0</v>
      </c>
      <c r="J35" s="97">
        <v>0</v>
      </c>
      <c r="K35" s="96"/>
      <c r="L35" s="97">
        <v>0</v>
      </c>
      <c r="M35" s="97">
        <v>0</v>
      </c>
      <c r="N35" s="96"/>
      <c r="O35" s="97">
        <v>0</v>
      </c>
      <c r="P35" s="97">
        <v>0</v>
      </c>
      <c r="Q35" s="96"/>
      <c r="R35" s="97">
        <v>0</v>
      </c>
      <c r="S35" s="97">
        <v>0</v>
      </c>
      <c r="T35" s="96"/>
      <c r="U35" s="97">
        <v>0</v>
      </c>
      <c r="V35" s="97">
        <v>0</v>
      </c>
      <c r="W35" s="96"/>
      <c r="X35" s="97">
        <v>0</v>
      </c>
      <c r="Y35" s="97">
        <v>0</v>
      </c>
      <c r="Z35" s="96"/>
      <c r="AA35" s="97">
        <v>0</v>
      </c>
      <c r="AB35" s="97">
        <v>0</v>
      </c>
      <c r="AC35" s="96"/>
      <c r="AD35" s="97">
        <v>0</v>
      </c>
      <c r="AE35" s="97">
        <v>0</v>
      </c>
      <c r="AF35" s="96"/>
      <c r="AG35" s="97">
        <v>0</v>
      </c>
      <c r="AH35" s="97">
        <v>0</v>
      </c>
      <c r="AI35" s="96"/>
      <c r="AJ35" s="97">
        <v>0</v>
      </c>
      <c r="AK35" s="97">
        <v>0</v>
      </c>
      <c r="AL35" s="97">
        <v>0</v>
      </c>
      <c r="AM35" s="97">
        <v>0</v>
      </c>
      <c r="AN35" s="97">
        <v>0</v>
      </c>
    </row>
    <row r="36" spans="1:40" x14ac:dyDescent="0.25">
      <c r="A36" s="95" t="s">
        <v>158</v>
      </c>
      <c r="B36" s="97">
        <v>0</v>
      </c>
      <c r="C36" s="97">
        <v>0</v>
      </c>
      <c r="D36" s="97">
        <v>0</v>
      </c>
      <c r="E36" s="96"/>
      <c r="F36" s="97">
        <v>0</v>
      </c>
      <c r="G36" s="97">
        <v>0</v>
      </c>
      <c r="H36" s="96"/>
      <c r="I36" s="97">
        <v>0</v>
      </c>
      <c r="J36" s="97">
        <v>0</v>
      </c>
      <c r="K36" s="96"/>
      <c r="L36" s="97">
        <v>0</v>
      </c>
      <c r="M36" s="97">
        <v>0</v>
      </c>
      <c r="N36" s="96"/>
      <c r="O36" s="97">
        <v>0</v>
      </c>
      <c r="P36" s="97">
        <v>0</v>
      </c>
      <c r="Q36" s="96"/>
      <c r="R36" s="97">
        <v>0</v>
      </c>
      <c r="S36" s="97">
        <v>0</v>
      </c>
      <c r="T36" s="96"/>
      <c r="U36" s="97">
        <v>0</v>
      </c>
      <c r="V36" s="97">
        <v>0</v>
      </c>
      <c r="W36" s="96"/>
      <c r="X36" s="97">
        <v>0</v>
      </c>
      <c r="Y36" s="97">
        <v>0</v>
      </c>
      <c r="Z36" s="96"/>
      <c r="AA36" s="97">
        <v>0</v>
      </c>
      <c r="AB36" s="97">
        <v>0</v>
      </c>
      <c r="AC36" s="96"/>
      <c r="AD36" s="97">
        <v>0</v>
      </c>
      <c r="AE36" s="97">
        <v>0</v>
      </c>
      <c r="AF36" s="96"/>
      <c r="AG36" s="97">
        <v>0</v>
      </c>
      <c r="AH36" s="97">
        <v>0</v>
      </c>
      <c r="AI36" s="96"/>
      <c r="AJ36" s="97">
        <v>0</v>
      </c>
      <c r="AK36" s="97">
        <v>0</v>
      </c>
      <c r="AL36" s="97">
        <v>0</v>
      </c>
      <c r="AM36" s="97">
        <v>0</v>
      </c>
      <c r="AN36" s="97">
        <v>0</v>
      </c>
    </row>
    <row r="37" spans="1:40" x14ac:dyDescent="0.25">
      <c r="A37" s="95" t="s">
        <v>159</v>
      </c>
      <c r="B37" s="97">
        <v>0</v>
      </c>
      <c r="C37" s="97">
        <v>0</v>
      </c>
      <c r="D37" s="97">
        <v>0</v>
      </c>
      <c r="E37" s="96"/>
      <c r="F37" s="97">
        <v>0</v>
      </c>
      <c r="G37" s="97">
        <v>0</v>
      </c>
      <c r="H37" s="96"/>
      <c r="I37" s="97">
        <v>0</v>
      </c>
      <c r="J37" s="97">
        <v>0</v>
      </c>
      <c r="K37" s="96"/>
      <c r="L37" s="97">
        <v>0</v>
      </c>
      <c r="M37" s="97">
        <v>0</v>
      </c>
      <c r="N37" s="96"/>
      <c r="O37" s="97">
        <v>0</v>
      </c>
      <c r="P37" s="97">
        <v>0</v>
      </c>
      <c r="Q37" s="96"/>
      <c r="R37" s="97">
        <v>0</v>
      </c>
      <c r="S37" s="97">
        <v>0</v>
      </c>
      <c r="T37" s="96"/>
      <c r="U37" s="97">
        <v>0</v>
      </c>
      <c r="V37" s="97">
        <v>0</v>
      </c>
      <c r="W37" s="96"/>
      <c r="X37" s="97">
        <v>0</v>
      </c>
      <c r="Y37" s="97">
        <v>0</v>
      </c>
      <c r="Z37" s="96"/>
      <c r="AA37" s="97">
        <v>0</v>
      </c>
      <c r="AB37" s="97">
        <v>0</v>
      </c>
      <c r="AC37" s="96"/>
      <c r="AD37" s="97">
        <v>0</v>
      </c>
      <c r="AE37" s="97">
        <v>0</v>
      </c>
      <c r="AF37" s="96"/>
      <c r="AG37" s="97">
        <v>0</v>
      </c>
      <c r="AH37" s="97">
        <v>0</v>
      </c>
      <c r="AI37" s="96"/>
      <c r="AJ37" s="97">
        <v>0</v>
      </c>
      <c r="AK37" s="97">
        <v>0</v>
      </c>
      <c r="AL37" s="97">
        <v>0</v>
      </c>
      <c r="AM37" s="97">
        <v>0</v>
      </c>
      <c r="AN37" s="97">
        <v>0</v>
      </c>
    </row>
    <row r="38" spans="1:40" x14ac:dyDescent="0.25">
      <c r="A38" s="95" t="s">
        <v>160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6"/>
      <c r="R38" s="97">
        <v>0</v>
      </c>
      <c r="S38" s="97">
        <v>0</v>
      </c>
      <c r="T38" s="96"/>
      <c r="U38" s="97">
        <v>0</v>
      </c>
      <c r="V38" s="97">
        <v>0</v>
      </c>
      <c r="W38" s="96"/>
      <c r="X38" s="97">
        <v>0</v>
      </c>
      <c r="Y38" s="97">
        <v>0</v>
      </c>
      <c r="Z38" s="96"/>
      <c r="AA38" s="97">
        <v>0</v>
      </c>
      <c r="AB38" s="97">
        <v>0</v>
      </c>
      <c r="AC38" s="96"/>
      <c r="AD38" s="97">
        <v>0</v>
      </c>
      <c r="AE38" s="97">
        <v>0</v>
      </c>
      <c r="AF38" s="96"/>
      <c r="AG38" s="97">
        <v>0</v>
      </c>
      <c r="AH38" s="97">
        <v>0</v>
      </c>
      <c r="AI38" s="96"/>
      <c r="AJ38" s="97">
        <v>0</v>
      </c>
      <c r="AK38" s="97">
        <v>0</v>
      </c>
      <c r="AL38" s="97">
        <v>0</v>
      </c>
      <c r="AM38" s="97">
        <v>0</v>
      </c>
      <c r="AN38" s="97">
        <v>0</v>
      </c>
    </row>
    <row r="39" spans="1:40" x14ac:dyDescent="0.25">
      <c r="A39" s="95" t="s">
        <v>161</v>
      </c>
      <c r="B39" s="96"/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6"/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6"/>
      <c r="X39" s="97">
        <v>0</v>
      </c>
      <c r="Y39" s="97">
        <v>0</v>
      </c>
      <c r="Z39" s="96"/>
      <c r="AA39" s="97">
        <v>0</v>
      </c>
      <c r="AB39" s="97">
        <v>0</v>
      </c>
      <c r="AC39" s="96"/>
      <c r="AD39" s="97">
        <v>0</v>
      </c>
      <c r="AE39" s="97">
        <v>0</v>
      </c>
      <c r="AF39" s="96"/>
      <c r="AG39" s="97">
        <v>0</v>
      </c>
      <c r="AH39" s="97">
        <v>0</v>
      </c>
      <c r="AI39" s="96"/>
      <c r="AJ39" s="97">
        <v>0</v>
      </c>
      <c r="AK39" s="97">
        <v>0</v>
      </c>
      <c r="AL39" s="97">
        <v>0</v>
      </c>
      <c r="AM39" s="97">
        <v>0</v>
      </c>
      <c r="AN39" s="97">
        <v>0</v>
      </c>
    </row>
    <row r="40" spans="1:40" x14ac:dyDescent="0.25">
      <c r="A40" s="95" t="s">
        <v>162</v>
      </c>
      <c r="B40" s="96"/>
      <c r="C40" s="97">
        <v>0</v>
      </c>
      <c r="D40" s="97">
        <v>0</v>
      </c>
      <c r="E40" s="96"/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6"/>
      <c r="U40" s="97">
        <v>0</v>
      </c>
      <c r="V40" s="97">
        <v>0</v>
      </c>
      <c r="W40" s="96"/>
      <c r="X40" s="97">
        <v>0</v>
      </c>
      <c r="Y40" s="97">
        <v>0</v>
      </c>
      <c r="Z40" s="96"/>
      <c r="AA40" s="97">
        <v>0</v>
      </c>
      <c r="AB40" s="97">
        <v>0</v>
      </c>
      <c r="AC40" s="96"/>
      <c r="AD40" s="97">
        <v>0</v>
      </c>
      <c r="AE40" s="97">
        <v>0</v>
      </c>
      <c r="AF40" s="96"/>
      <c r="AG40" s="97">
        <v>0</v>
      </c>
      <c r="AH40" s="97">
        <v>0</v>
      </c>
      <c r="AI40" s="96"/>
      <c r="AJ40" s="97">
        <v>0</v>
      </c>
      <c r="AK40" s="97">
        <v>0</v>
      </c>
      <c r="AL40" s="97">
        <v>0</v>
      </c>
      <c r="AM40" s="97">
        <v>0</v>
      </c>
      <c r="AN40" s="97">
        <v>0</v>
      </c>
    </row>
    <row r="41" spans="1:40" x14ac:dyDescent="0.25">
      <c r="A41" s="95" t="s">
        <v>163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6"/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6"/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6"/>
      <c r="U41" s="97">
        <v>0</v>
      </c>
      <c r="V41" s="97">
        <v>0</v>
      </c>
      <c r="W41" s="97">
        <v>0</v>
      </c>
      <c r="X41" s="97">
        <v>0</v>
      </c>
      <c r="Y41" s="97">
        <v>0</v>
      </c>
      <c r="Z41" s="96"/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6"/>
      <c r="AG41" s="97">
        <v>0</v>
      </c>
      <c r="AH41" s="97">
        <v>0</v>
      </c>
      <c r="AI41" s="96"/>
      <c r="AJ41" s="97">
        <v>0</v>
      </c>
      <c r="AK41" s="97">
        <v>0</v>
      </c>
      <c r="AL41" s="97">
        <v>0</v>
      </c>
      <c r="AM41" s="97">
        <v>0</v>
      </c>
      <c r="AN41" s="97">
        <v>0</v>
      </c>
    </row>
    <row r="42" spans="1:40" x14ac:dyDescent="0.25">
      <c r="A42" s="95" t="s">
        <v>164</v>
      </c>
      <c r="B42" s="96"/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6"/>
      <c r="L42" s="97">
        <v>0</v>
      </c>
      <c r="M42" s="97">
        <v>0</v>
      </c>
      <c r="N42" s="96"/>
      <c r="O42" s="97">
        <v>0</v>
      </c>
      <c r="P42" s="97">
        <v>0</v>
      </c>
      <c r="Q42" s="96"/>
      <c r="R42" s="97">
        <v>0</v>
      </c>
      <c r="S42" s="97">
        <v>0</v>
      </c>
      <c r="T42" s="96"/>
      <c r="U42" s="97">
        <v>0</v>
      </c>
      <c r="V42" s="97">
        <v>0</v>
      </c>
      <c r="W42" s="96"/>
      <c r="X42" s="97">
        <v>0</v>
      </c>
      <c r="Y42" s="97">
        <v>0</v>
      </c>
      <c r="Z42" s="96"/>
      <c r="AA42" s="97">
        <v>0</v>
      </c>
      <c r="AB42" s="97">
        <v>0</v>
      </c>
      <c r="AC42" s="96"/>
      <c r="AD42" s="97">
        <v>0</v>
      </c>
      <c r="AE42" s="97">
        <v>0</v>
      </c>
      <c r="AF42" s="96"/>
      <c r="AG42" s="97">
        <v>0</v>
      </c>
      <c r="AH42" s="97">
        <v>0</v>
      </c>
      <c r="AI42" s="96"/>
      <c r="AJ42" s="97">
        <v>0</v>
      </c>
      <c r="AK42" s="97">
        <v>0</v>
      </c>
      <c r="AL42" s="97">
        <v>0</v>
      </c>
      <c r="AM42" s="97">
        <v>0</v>
      </c>
      <c r="AN42" s="97">
        <v>0</v>
      </c>
    </row>
    <row r="43" spans="1:40" x14ac:dyDescent="0.25">
      <c r="A43" s="95" t="s">
        <v>165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6"/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6"/>
      <c r="U43" s="97">
        <v>0</v>
      </c>
      <c r="V43" s="97">
        <v>0</v>
      </c>
      <c r="W43" s="96"/>
      <c r="X43" s="97">
        <v>0</v>
      </c>
      <c r="Y43" s="97">
        <v>0</v>
      </c>
      <c r="Z43" s="96"/>
      <c r="AA43" s="97">
        <v>0</v>
      </c>
      <c r="AB43" s="97">
        <v>0</v>
      </c>
      <c r="AC43" s="96"/>
      <c r="AD43" s="97">
        <v>0</v>
      </c>
      <c r="AE43" s="97">
        <v>0</v>
      </c>
      <c r="AF43" s="96"/>
      <c r="AG43" s="97">
        <v>0</v>
      </c>
      <c r="AH43" s="97">
        <v>0</v>
      </c>
      <c r="AI43" s="96"/>
      <c r="AJ43" s="97">
        <v>0</v>
      </c>
      <c r="AK43" s="97">
        <v>0</v>
      </c>
      <c r="AL43" s="97">
        <v>0</v>
      </c>
      <c r="AM43" s="97">
        <v>0</v>
      </c>
      <c r="AN43" s="97">
        <v>0</v>
      </c>
    </row>
    <row r="44" spans="1:40" x14ac:dyDescent="0.25">
      <c r="A44" s="95" t="s">
        <v>166</v>
      </c>
      <c r="B44" s="96"/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6"/>
      <c r="L44" s="97">
        <v>0</v>
      </c>
      <c r="M44" s="97">
        <v>0</v>
      </c>
      <c r="N44" s="96"/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6"/>
      <c r="U44" s="97">
        <v>0</v>
      </c>
      <c r="V44" s="97">
        <v>0</v>
      </c>
      <c r="W44" s="96"/>
      <c r="X44" s="97">
        <v>0</v>
      </c>
      <c r="Y44" s="97">
        <v>0</v>
      </c>
      <c r="Z44" s="96"/>
      <c r="AA44" s="97">
        <v>0</v>
      </c>
      <c r="AB44" s="97">
        <v>0</v>
      </c>
      <c r="AC44" s="96"/>
      <c r="AD44" s="97">
        <v>0</v>
      </c>
      <c r="AE44" s="97">
        <v>0</v>
      </c>
      <c r="AF44" s="96"/>
      <c r="AG44" s="97">
        <v>0</v>
      </c>
      <c r="AH44" s="97">
        <v>0</v>
      </c>
      <c r="AI44" s="96"/>
      <c r="AJ44" s="97">
        <v>0</v>
      </c>
      <c r="AK44" s="97">
        <v>0</v>
      </c>
      <c r="AL44" s="97">
        <v>0</v>
      </c>
      <c r="AM44" s="97">
        <v>0</v>
      </c>
      <c r="AN44" s="97">
        <v>0</v>
      </c>
    </row>
    <row r="45" spans="1:40" x14ac:dyDescent="0.25">
      <c r="A45" s="95" t="s">
        <v>167</v>
      </c>
      <c r="B45" s="97">
        <v>0</v>
      </c>
      <c r="C45" s="97">
        <v>0</v>
      </c>
      <c r="D45" s="97">
        <v>0</v>
      </c>
      <c r="E45" s="96"/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6"/>
      <c r="R45" s="97">
        <v>0</v>
      </c>
      <c r="S45" s="97">
        <v>0</v>
      </c>
      <c r="T45" s="96"/>
      <c r="U45" s="97">
        <v>0</v>
      </c>
      <c r="V45" s="97">
        <v>0</v>
      </c>
      <c r="W45" s="96"/>
      <c r="X45" s="97">
        <v>0</v>
      </c>
      <c r="Y45" s="97">
        <v>0</v>
      </c>
      <c r="Z45" s="96"/>
      <c r="AA45" s="97">
        <v>0</v>
      </c>
      <c r="AB45" s="97">
        <v>0</v>
      </c>
      <c r="AC45" s="96"/>
      <c r="AD45" s="97">
        <v>0</v>
      </c>
      <c r="AE45" s="97">
        <v>0</v>
      </c>
      <c r="AF45" s="96"/>
      <c r="AG45" s="97">
        <v>0</v>
      </c>
      <c r="AH45" s="97">
        <v>0</v>
      </c>
      <c r="AI45" s="96"/>
      <c r="AJ45" s="97">
        <v>0</v>
      </c>
      <c r="AK45" s="97">
        <v>0</v>
      </c>
      <c r="AL45" s="97">
        <v>0</v>
      </c>
      <c r="AM45" s="97">
        <v>0</v>
      </c>
      <c r="AN45" s="97">
        <v>0</v>
      </c>
    </row>
    <row r="46" spans="1:40" x14ac:dyDescent="0.25">
      <c r="A46" s="95" t="s">
        <v>168</v>
      </c>
      <c r="B46" s="97">
        <v>0</v>
      </c>
      <c r="C46" s="97">
        <v>0</v>
      </c>
      <c r="D46" s="97">
        <v>0</v>
      </c>
      <c r="E46" s="96"/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6"/>
      <c r="O46" s="97">
        <v>0</v>
      </c>
      <c r="P46" s="97">
        <v>0</v>
      </c>
      <c r="Q46" s="96"/>
      <c r="R46" s="97">
        <v>0</v>
      </c>
      <c r="S46" s="97">
        <v>0</v>
      </c>
      <c r="T46" s="96"/>
      <c r="U46" s="97">
        <v>0</v>
      </c>
      <c r="V46" s="97">
        <v>0</v>
      </c>
      <c r="W46" s="96"/>
      <c r="X46" s="97">
        <v>0</v>
      </c>
      <c r="Y46" s="97">
        <v>0</v>
      </c>
      <c r="Z46" s="96"/>
      <c r="AA46" s="97">
        <v>0</v>
      </c>
      <c r="AB46" s="97">
        <v>0</v>
      </c>
      <c r="AC46" s="96"/>
      <c r="AD46" s="97">
        <v>0</v>
      </c>
      <c r="AE46" s="97">
        <v>0</v>
      </c>
      <c r="AF46" s="96"/>
      <c r="AG46" s="97">
        <v>0</v>
      </c>
      <c r="AH46" s="97">
        <v>0</v>
      </c>
      <c r="AI46" s="96"/>
      <c r="AJ46" s="97">
        <v>0</v>
      </c>
      <c r="AK46" s="97">
        <v>0</v>
      </c>
      <c r="AL46" s="97">
        <v>0</v>
      </c>
      <c r="AM46" s="97">
        <v>0</v>
      </c>
      <c r="AN46" s="97">
        <v>0</v>
      </c>
    </row>
    <row r="47" spans="1:40" x14ac:dyDescent="0.25">
      <c r="A47" s="95" t="s">
        <v>169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6"/>
      <c r="X47" s="97">
        <v>0</v>
      </c>
      <c r="Y47" s="97">
        <v>0</v>
      </c>
      <c r="Z47" s="96"/>
      <c r="AA47" s="97">
        <v>0</v>
      </c>
      <c r="AB47" s="97">
        <v>0</v>
      </c>
      <c r="AC47" s="96"/>
      <c r="AD47" s="97">
        <v>0</v>
      </c>
      <c r="AE47" s="97">
        <v>0</v>
      </c>
      <c r="AF47" s="96"/>
      <c r="AG47" s="97">
        <v>0</v>
      </c>
      <c r="AH47" s="97">
        <v>0</v>
      </c>
      <c r="AI47" s="96"/>
      <c r="AJ47" s="97">
        <v>0</v>
      </c>
      <c r="AK47" s="97">
        <v>0</v>
      </c>
      <c r="AL47" s="97">
        <v>0</v>
      </c>
      <c r="AM47" s="97">
        <v>0</v>
      </c>
      <c r="AN47" s="97">
        <v>0</v>
      </c>
    </row>
    <row r="48" spans="1:40" x14ac:dyDescent="0.25">
      <c r="A48" s="95" t="s">
        <v>170</v>
      </c>
      <c r="B48" s="96"/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6"/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6"/>
      <c r="O48" s="97">
        <v>0</v>
      </c>
      <c r="P48" s="97">
        <v>0</v>
      </c>
      <c r="Q48" s="96"/>
      <c r="R48" s="97">
        <v>0</v>
      </c>
      <c r="S48" s="97">
        <v>0</v>
      </c>
      <c r="T48" s="96"/>
      <c r="U48" s="97">
        <v>0</v>
      </c>
      <c r="V48" s="97">
        <v>0</v>
      </c>
      <c r="W48" s="97">
        <v>0</v>
      </c>
      <c r="X48" s="97">
        <v>0</v>
      </c>
      <c r="Y48" s="97">
        <v>0</v>
      </c>
      <c r="Z48" s="96"/>
      <c r="AA48" s="97">
        <v>0</v>
      </c>
      <c r="AB48" s="97">
        <v>0</v>
      </c>
      <c r="AC48" s="96"/>
      <c r="AD48" s="97">
        <v>0</v>
      </c>
      <c r="AE48" s="97">
        <v>0</v>
      </c>
      <c r="AF48" s="96"/>
      <c r="AG48" s="97">
        <v>0</v>
      </c>
      <c r="AH48" s="97">
        <v>0</v>
      </c>
      <c r="AI48" s="96"/>
      <c r="AJ48" s="97">
        <v>0</v>
      </c>
      <c r="AK48" s="97">
        <v>0</v>
      </c>
      <c r="AL48" s="97">
        <v>0</v>
      </c>
      <c r="AM48" s="97">
        <v>0</v>
      </c>
      <c r="AN48" s="97">
        <v>0</v>
      </c>
    </row>
    <row r="49" spans="1:40" x14ac:dyDescent="0.25">
      <c r="A49" s="95" t="s">
        <v>171</v>
      </c>
      <c r="B49" s="96"/>
      <c r="C49" s="97">
        <v>0</v>
      </c>
      <c r="D49" s="97">
        <v>0</v>
      </c>
      <c r="E49" s="96"/>
      <c r="F49" s="97">
        <v>0</v>
      </c>
      <c r="G49" s="97">
        <v>0</v>
      </c>
      <c r="H49" s="96"/>
      <c r="I49" s="97">
        <v>0</v>
      </c>
      <c r="J49" s="97">
        <v>0</v>
      </c>
      <c r="K49" s="96"/>
      <c r="L49" s="97">
        <v>0</v>
      </c>
      <c r="M49" s="97">
        <v>0</v>
      </c>
      <c r="N49" s="96"/>
      <c r="O49" s="97">
        <v>0</v>
      </c>
      <c r="P49" s="97">
        <v>0</v>
      </c>
      <c r="Q49" s="96"/>
      <c r="R49" s="97">
        <v>0</v>
      </c>
      <c r="S49" s="97">
        <v>0</v>
      </c>
      <c r="T49" s="96"/>
      <c r="U49" s="97">
        <v>0</v>
      </c>
      <c r="V49" s="97">
        <v>0</v>
      </c>
      <c r="W49" s="96"/>
      <c r="X49" s="97">
        <v>0</v>
      </c>
      <c r="Y49" s="97">
        <v>0</v>
      </c>
      <c r="Z49" s="96"/>
      <c r="AA49" s="97">
        <v>0</v>
      </c>
      <c r="AB49" s="97">
        <v>0</v>
      </c>
      <c r="AC49" s="96"/>
      <c r="AD49" s="97">
        <v>0</v>
      </c>
      <c r="AE49" s="97">
        <v>0</v>
      </c>
      <c r="AF49" s="96"/>
      <c r="AG49" s="97">
        <v>0</v>
      </c>
      <c r="AH49" s="97">
        <v>0</v>
      </c>
      <c r="AI49" s="96"/>
      <c r="AJ49" s="97">
        <v>0</v>
      </c>
      <c r="AK49" s="97">
        <v>0</v>
      </c>
      <c r="AL49" s="97">
        <v>0</v>
      </c>
      <c r="AM49" s="97">
        <v>0</v>
      </c>
      <c r="AN49" s="97">
        <v>0</v>
      </c>
    </row>
    <row r="50" spans="1:40" x14ac:dyDescent="0.25">
      <c r="A50" s="95" t="s">
        <v>172</v>
      </c>
      <c r="B50" s="96"/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6"/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6"/>
      <c r="O50" s="97">
        <v>0</v>
      </c>
      <c r="P50" s="97">
        <v>0</v>
      </c>
      <c r="Q50" s="96"/>
      <c r="R50" s="97">
        <v>0</v>
      </c>
      <c r="S50" s="97">
        <v>0</v>
      </c>
      <c r="T50" s="96"/>
      <c r="U50" s="97">
        <v>0</v>
      </c>
      <c r="V50" s="97">
        <v>0</v>
      </c>
      <c r="W50" s="96"/>
      <c r="X50" s="97">
        <v>0</v>
      </c>
      <c r="Y50" s="97">
        <v>0</v>
      </c>
      <c r="Z50" s="96"/>
      <c r="AA50" s="97">
        <v>0</v>
      </c>
      <c r="AB50" s="97">
        <v>0</v>
      </c>
      <c r="AC50" s="96"/>
      <c r="AD50" s="97">
        <v>0</v>
      </c>
      <c r="AE50" s="97">
        <v>0</v>
      </c>
      <c r="AF50" s="96"/>
      <c r="AG50" s="97">
        <v>0</v>
      </c>
      <c r="AH50" s="97">
        <v>0</v>
      </c>
      <c r="AI50" s="96"/>
      <c r="AJ50" s="97">
        <v>0</v>
      </c>
      <c r="AK50" s="97">
        <v>0</v>
      </c>
      <c r="AL50" s="97">
        <v>0</v>
      </c>
      <c r="AM50" s="97">
        <v>0</v>
      </c>
      <c r="AN50" s="97">
        <v>0</v>
      </c>
    </row>
    <row r="51" spans="1:40" x14ac:dyDescent="0.25">
      <c r="A51" s="95" t="s">
        <v>173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</row>
    <row r="52" spans="1:40" x14ac:dyDescent="0.25">
      <c r="A52" s="95" t="s">
        <v>174</v>
      </c>
      <c r="B52" s="96"/>
      <c r="C52" s="96"/>
      <c r="D52" s="97">
        <v>0</v>
      </c>
      <c r="E52" s="96"/>
      <c r="F52" s="96"/>
      <c r="G52" s="97">
        <v>0</v>
      </c>
      <c r="H52" s="96"/>
      <c r="I52" s="96"/>
      <c r="J52" s="97">
        <v>0</v>
      </c>
      <c r="K52" s="96"/>
      <c r="L52" s="96"/>
      <c r="M52" s="97">
        <v>0</v>
      </c>
      <c r="N52" s="96"/>
      <c r="O52" s="96"/>
      <c r="P52" s="97">
        <v>0</v>
      </c>
      <c r="Q52" s="96"/>
      <c r="R52" s="96"/>
      <c r="S52" s="97">
        <v>0</v>
      </c>
      <c r="T52" s="96"/>
      <c r="U52" s="96"/>
      <c r="V52" s="97">
        <v>0</v>
      </c>
      <c r="W52" s="96"/>
      <c r="X52" s="96"/>
      <c r="Y52" s="97">
        <v>0</v>
      </c>
      <c r="Z52" s="96"/>
      <c r="AA52" s="96"/>
      <c r="AB52" s="97">
        <v>0</v>
      </c>
      <c r="AC52" s="96"/>
      <c r="AD52" s="96"/>
      <c r="AE52" s="97">
        <v>0</v>
      </c>
      <c r="AF52" s="96"/>
      <c r="AG52" s="96"/>
      <c r="AH52" s="97">
        <v>0</v>
      </c>
      <c r="AI52" s="96"/>
      <c r="AJ52" s="96"/>
      <c r="AK52" s="97">
        <v>0</v>
      </c>
      <c r="AL52" s="97">
        <v>0</v>
      </c>
      <c r="AM52" s="97">
        <v>0</v>
      </c>
      <c r="AN52" s="97">
        <v>0</v>
      </c>
    </row>
    <row r="53" spans="1:40" x14ac:dyDescent="0.25">
      <c r="A53" s="95" t="s">
        <v>175</v>
      </c>
      <c r="B53" s="96"/>
      <c r="C53" s="97">
        <v>0</v>
      </c>
      <c r="D53" s="97">
        <v>0</v>
      </c>
      <c r="E53" s="96"/>
      <c r="F53" s="97">
        <v>0</v>
      </c>
      <c r="G53" s="97">
        <v>0</v>
      </c>
      <c r="H53" s="96"/>
      <c r="I53" s="97">
        <v>0</v>
      </c>
      <c r="J53" s="97">
        <v>0</v>
      </c>
      <c r="K53" s="96"/>
      <c r="L53" s="97">
        <v>0</v>
      </c>
      <c r="M53" s="97">
        <v>0</v>
      </c>
      <c r="N53" s="96"/>
      <c r="O53" s="97">
        <v>0</v>
      </c>
      <c r="P53" s="97">
        <v>0</v>
      </c>
      <c r="Q53" s="96"/>
      <c r="R53" s="97">
        <v>0</v>
      </c>
      <c r="S53" s="97">
        <v>0</v>
      </c>
      <c r="T53" s="96"/>
      <c r="U53" s="97">
        <v>0</v>
      </c>
      <c r="V53" s="97">
        <v>0</v>
      </c>
      <c r="W53" s="96"/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96"/>
      <c r="AJ53" s="97">
        <v>0</v>
      </c>
      <c r="AK53" s="97">
        <v>0</v>
      </c>
      <c r="AL53" s="97">
        <v>0</v>
      </c>
      <c r="AM53" s="97">
        <v>0</v>
      </c>
      <c r="AN53" s="97">
        <v>0</v>
      </c>
    </row>
    <row r="54" spans="1:40" x14ac:dyDescent="0.25">
      <c r="A54" s="95" t="s">
        <v>176</v>
      </c>
      <c r="B54" s="96"/>
      <c r="C54" s="97">
        <v>0</v>
      </c>
      <c r="D54" s="97">
        <v>0</v>
      </c>
      <c r="E54" s="96"/>
      <c r="F54" s="97">
        <v>0</v>
      </c>
      <c r="G54" s="97">
        <v>0</v>
      </c>
      <c r="H54" s="96"/>
      <c r="I54" s="97">
        <v>0</v>
      </c>
      <c r="J54" s="97">
        <v>0</v>
      </c>
      <c r="K54" s="96"/>
      <c r="L54" s="97">
        <v>0</v>
      </c>
      <c r="M54" s="97">
        <v>0</v>
      </c>
      <c r="N54" s="96"/>
      <c r="O54" s="97">
        <v>0</v>
      </c>
      <c r="P54" s="97">
        <v>0</v>
      </c>
      <c r="Q54" s="96"/>
      <c r="R54" s="97">
        <v>0</v>
      </c>
      <c r="S54" s="97">
        <v>0</v>
      </c>
      <c r="T54" s="96"/>
      <c r="U54" s="97">
        <v>0</v>
      </c>
      <c r="V54" s="97">
        <v>0</v>
      </c>
      <c r="W54" s="96"/>
      <c r="X54" s="97">
        <v>0</v>
      </c>
      <c r="Y54" s="97">
        <v>0</v>
      </c>
      <c r="Z54" s="96"/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6"/>
      <c r="AG54" s="97">
        <v>0</v>
      </c>
      <c r="AH54" s="97">
        <v>0</v>
      </c>
      <c r="AI54" s="96"/>
      <c r="AJ54" s="97">
        <v>0</v>
      </c>
      <c r="AK54" s="97">
        <v>0</v>
      </c>
      <c r="AL54" s="97">
        <v>0</v>
      </c>
      <c r="AM54" s="97">
        <v>0</v>
      </c>
      <c r="AN54" s="97">
        <v>0</v>
      </c>
    </row>
    <row r="55" spans="1:40" x14ac:dyDescent="0.25">
      <c r="A55" s="95" t="s">
        <v>177</v>
      </c>
      <c r="B55" s="96"/>
      <c r="C55" s="97">
        <v>0</v>
      </c>
      <c r="D55" s="97">
        <v>0</v>
      </c>
      <c r="E55" s="96"/>
      <c r="F55" s="97">
        <v>0</v>
      </c>
      <c r="G55" s="97">
        <v>0</v>
      </c>
      <c r="H55" s="96"/>
      <c r="I55" s="97">
        <v>0</v>
      </c>
      <c r="J55" s="97">
        <v>0</v>
      </c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6"/>
      <c r="R55" s="97">
        <v>0</v>
      </c>
      <c r="S55" s="97">
        <v>0</v>
      </c>
      <c r="T55" s="96"/>
      <c r="U55" s="97">
        <v>0</v>
      </c>
      <c r="V55" s="97">
        <v>0</v>
      </c>
      <c r="W55" s="96"/>
      <c r="X55" s="97">
        <v>0</v>
      </c>
      <c r="Y55" s="97">
        <v>0</v>
      </c>
      <c r="Z55" s="96"/>
      <c r="AA55" s="97">
        <v>0</v>
      </c>
      <c r="AB55" s="97">
        <v>0</v>
      </c>
      <c r="AC55" s="97">
        <v>0</v>
      </c>
      <c r="AD55" s="97">
        <v>0</v>
      </c>
      <c r="AE55" s="97">
        <v>0</v>
      </c>
      <c r="AF55" s="96"/>
      <c r="AG55" s="97">
        <v>0</v>
      </c>
      <c r="AH55" s="97">
        <v>0</v>
      </c>
      <c r="AI55" s="96"/>
      <c r="AJ55" s="97">
        <v>0</v>
      </c>
      <c r="AK55" s="97">
        <v>0</v>
      </c>
      <c r="AL55" s="97">
        <v>0</v>
      </c>
      <c r="AM55" s="97">
        <v>0</v>
      </c>
      <c r="AN55" s="97">
        <v>0</v>
      </c>
    </row>
    <row r="56" spans="1:40" x14ac:dyDescent="0.25">
      <c r="A56" s="95" t="s">
        <v>178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</row>
    <row r="57" spans="1:40" x14ac:dyDescent="0.25">
      <c r="A57" s="95" t="s">
        <v>179</v>
      </c>
      <c r="B57" s="96"/>
      <c r="C57" s="96"/>
      <c r="D57" s="97">
        <v>0</v>
      </c>
      <c r="E57" s="96"/>
      <c r="F57" s="96"/>
      <c r="G57" s="97">
        <v>0</v>
      </c>
      <c r="H57" s="96"/>
      <c r="I57" s="96"/>
      <c r="J57" s="97">
        <v>0</v>
      </c>
      <c r="K57" s="96"/>
      <c r="L57" s="96"/>
      <c r="M57" s="97">
        <v>0</v>
      </c>
      <c r="N57" s="96"/>
      <c r="O57" s="96"/>
      <c r="P57" s="97">
        <v>0</v>
      </c>
      <c r="Q57" s="96"/>
      <c r="R57" s="96"/>
      <c r="S57" s="97">
        <v>0</v>
      </c>
      <c r="T57" s="96"/>
      <c r="U57" s="96"/>
      <c r="V57" s="97">
        <v>0</v>
      </c>
      <c r="W57" s="96"/>
      <c r="X57" s="96"/>
      <c r="Y57" s="97">
        <v>0</v>
      </c>
      <c r="Z57" s="96"/>
      <c r="AA57" s="96"/>
      <c r="AB57" s="97">
        <v>0</v>
      </c>
      <c r="AC57" s="96"/>
      <c r="AD57" s="96"/>
      <c r="AE57" s="97">
        <v>0</v>
      </c>
      <c r="AF57" s="96"/>
      <c r="AG57" s="96"/>
      <c r="AH57" s="97">
        <v>0</v>
      </c>
      <c r="AI57" s="96"/>
      <c r="AJ57" s="96"/>
      <c r="AK57" s="97">
        <v>0</v>
      </c>
      <c r="AL57" s="97">
        <v>0</v>
      </c>
      <c r="AM57" s="97">
        <v>0</v>
      </c>
      <c r="AN57" s="97">
        <v>0</v>
      </c>
    </row>
    <row r="58" spans="1:40" x14ac:dyDescent="0.25">
      <c r="A58" s="95" t="s">
        <v>180</v>
      </c>
      <c r="B58" s="96"/>
      <c r="C58" s="97">
        <v>0</v>
      </c>
      <c r="D58" s="97">
        <v>0</v>
      </c>
      <c r="E58" s="96"/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6"/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6"/>
      <c r="R58" s="97">
        <v>0</v>
      </c>
      <c r="S58" s="97">
        <v>0</v>
      </c>
      <c r="T58" s="96"/>
      <c r="U58" s="97">
        <v>0</v>
      </c>
      <c r="V58" s="97">
        <v>0</v>
      </c>
      <c r="W58" s="96"/>
      <c r="X58" s="97">
        <v>0</v>
      </c>
      <c r="Y58" s="97">
        <v>0</v>
      </c>
      <c r="Z58" s="96"/>
      <c r="AA58" s="97">
        <v>0</v>
      </c>
      <c r="AB58" s="97">
        <v>0</v>
      </c>
      <c r="AC58" s="96"/>
      <c r="AD58" s="97">
        <v>0</v>
      </c>
      <c r="AE58" s="97">
        <v>0</v>
      </c>
      <c r="AF58" s="96"/>
      <c r="AG58" s="97">
        <v>0</v>
      </c>
      <c r="AH58" s="97">
        <v>0</v>
      </c>
      <c r="AI58" s="96"/>
      <c r="AJ58" s="97">
        <v>0</v>
      </c>
      <c r="AK58" s="97">
        <v>0</v>
      </c>
      <c r="AL58" s="97">
        <v>0</v>
      </c>
      <c r="AM58" s="97">
        <v>0</v>
      </c>
      <c r="AN58" s="97">
        <v>0</v>
      </c>
    </row>
    <row r="59" spans="1:40" x14ac:dyDescent="0.25">
      <c r="A59" s="95" t="s">
        <v>181</v>
      </c>
      <c r="B59" s="96"/>
      <c r="C59" s="97">
        <v>0</v>
      </c>
      <c r="D59" s="97">
        <v>0</v>
      </c>
      <c r="E59" s="96"/>
      <c r="F59" s="97">
        <v>0</v>
      </c>
      <c r="G59" s="97">
        <v>0</v>
      </c>
      <c r="H59" s="96"/>
      <c r="I59" s="97">
        <v>0</v>
      </c>
      <c r="J59" s="97">
        <v>0</v>
      </c>
      <c r="K59" s="96"/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6"/>
      <c r="R59" s="97">
        <v>0</v>
      </c>
      <c r="S59" s="97">
        <v>0</v>
      </c>
      <c r="T59" s="96"/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6"/>
      <c r="AG59" s="97">
        <v>0</v>
      </c>
      <c r="AH59" s="97">
        <v>0</v>
      </c>
      <c r="AI59" s="96"/>
      <c r="AJ59" s="97">
        <v>0</v>
      </c>
      <c r="AK59" s="97">
        <v>0</v>
      </c>
      <c r="AL59" s="97">
        <v>0</v>
      </c>
      <c r="AM59" s="97">
        <v>0</v>
      </c>
      <c r="AN59" s="97">
        <v>0</v>
      </c>
    </row>
    <row r="60" spans="1:40" x14ac:dyDescent="0.25">
      <c r="A60" s="95" t="s">
        <v>182</v>
      </c>
      <c r="B60" s="96"/>
      <c r="C60" s="97">
        <v>0</v>
      </c>
      <c r="D60" s="97">
        <v>0</v>
      </c>
      <c r="E60" s="96"/>
      <c r="F60" s="97">
        <v>0</v>
      </c>
      <c r="G60" s="97">
        <v>0</v>
      </c>
      <c r="H60" s="96"/>
      <c r="I60" s="97">
        <v>0</v>
      </c>
      <c r="J60" s="97">
        <v>0</v>
      </c>
      <c r="K60" s="96"/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6"/>
      <c r="R60" s="97">
        <v>0</v>
      </c>
      <c r="S60" s="97">
        <v>0</v>
      </c>
      <c r="T60" s="96"/>
      <c r="U60" s="97">
        <v>0</v>
      </c>
      <c r="V60" s="97">
        <v>0</v>
      </c>
      <c r="W60" s="96"/>
      <c r="X60" s="97">
        <v>0</v>
      </c>
      <c r="Y60" s="97">
        <v>0</v>
      </c>
      <c r="Z60" s="96"/>
      <c r="AA60" s="97">
        <v>0</v>
      </c>
      <c r="AB60" s="97">
        <v>0</v>
      </c>
      <c r="AC60" s="96"/>
      <c r="AD60" s="97">
        <v>0</v>
      </c>
      <c r="AE60" s="97">
        <v>0</v>
      </c>
      <c r="AF60" s="96"/>
      <c r="AG60" s="97">
        <v>0</v>
      </c>
      <c r="AH60" s="97">
        <v>0</v>
      </c>
      <c r="AI60" s="96"/>
      <c r="AJ60" s="97">
        <v>0</v>
      </c>
      <c r="AK60" s="97">
        <v>0</v>
      </c>
      <c r="AL60" s="97">
        <v>0</v>
      </c>
      <c r="AM60" s="97">
        <v>0</v>
      </c>
      <c r="AN60" s="97">
        <v>0</v>
      </c>
    </row>
    <row r="61" spans="1:40" x14ac:dyDescent="0.25">
      <c r="A61" s="95" t="s">
        <v>183</v>
      </c>
      <c r="B61" s="96"/>
      <c r="C61" s="97">
        <v>0</v>
      </c>
      <c r="D61" s="97">
        <v>0</v>
      </c>
      <c r="E61" s="96"/>
      <c r="F61" s="97">
        <v>0</v>
      </c>
      <c r="G61" s="97">
        <v>0</v>
      </c>
      <c r="H61" s="96"/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6"/>
      <c r="R61" s="97">
        <v>0</v>
      </c>
      <c r="S61" s="97">
        <v>0</v>
      </c>
      <c r="T61" s="96"/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6"/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6"/>
      <c r="AG61" s="97">
        <v>0</v>
      </c>
      <c r="AH61" s="97">
        <v>0</v>
      </c>
      <c r="AI61" s="96"/>
      <c r="AJ61" s="97">
        <v>0</v>
      </c>
      <c r="AK61" s="97">
        <v>0</v>
      </c>
      <c r="AL61" s="97">
        <v>0</v>
      </c>
      <c r="AM61" s="97">
        <v>0</v>
      </c>
      <c r="AN61" s="97">
        <v>0</v>
      </c>
    </row>
    <row r="62" spans="1:40" x14ac:dyDescent="0.25">
      <c r="A62" s="95" t="s">
        <v>184</v>
      </c>
      <c r="B62" s="96"/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6"/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6"/>
      <c r="X62" s="97">
        <v>0</v>
      </c>
      <c r="Y62" s="97">
        <v>0</v>
      </c>
      <c r="Z62" s="96"/>
      <c r="AA62" s="97">
        <v>0</v>
      </c>
      <c r="AB62" s="97">
        <v>0</v>
      </c>
      <c r="AC62" s="96"/>
      <c r="AD62" s="97">
        <v>0</v>
      </c>
      <c r="AE62" s="97">
        <v>0</v>
      </c>
      <c r="AF62" s="96"/>
      <c r="AG62" s="97">
        <v>0</v>
      </c>
      <c r="AH62" s="97">
        <v>0</v>
      </c>
      <c r="AI62" s="96"/>
      <c r="AJ62" s="97">
        <v>0</v>
      </c>
      <c r="AK62" s="97">
        <v>0</v>
      </c>
      <c r="AL62" s="97">
        <v>0</v>
      </c>
      <c r="AM62" s="97">
        <v>0</v>
      </c>
      <c r="AN62" s="97">
        <v>0</v>
      </c>
    </row>
    <row r="63" spans="1:40" x14ac:dyDescent="0.25">
      <c r="A63" s="95" t="s">
        <v>185</v>
      </c>
      <c r="B63" s="96"/>
      <c r="C63" s="97">
        <v>0</v>
      </c>
      <c r="D63" s="97">
        <v>0</v>
      </c>
      <c r="E63" s="96"/>
      <c r="F63" s="97">
        <v>0</v>
      </c>
      <c r="G63" s="97">
        <v>0</v>
      </c>
      <c r="H63" s="96"/>
      <c r="I63" s="97">
        <v>0</v>
      </c>
      <c r="J63" s="97">
        <v>0</v>
      </c>
      <c r="K63" s="96"/>
      <c r="L63" s="97">
        <v>0</v>
      </c>
      <c r="M63" s="97">
        <v>0</v>
      </c>
      <c r="N63" s="96"/>
      <c r="O63" s="97">
        <v>0</v>
      </c>
      <c r="P63" s="97">
        <v>0</v>
      </c>
      <c r="Q63" s="96"/>
      <c r="R63" s="97">
        <v>0</v>
      </c>
      <c r="S63" s="97">
        <v>0</v>
      </c>
      <c r="T63" s="96"/>
      <c r="U63" s="97">
        <v>0</v>
      </c>
      <c r="V63" s="97">
        <v>0</v>
      </c>
      <c r="W63" s="96"/>
      <c r="X63" s="97">
        <v>0</v>
      </c>
      <c r="Y63" s="97">
        <v>0</v>
      </c>
      <c r="Z63" s="96"/>
      <c r="AA63" s="97">
        <v>0</v>
      </c>
      <c r="AB63" s="97">
        <v>0</v>
      </c>
      <c r="AC63" s="96"/>
      <c r="AD63" s="97">
        <v>0</v>
      </c>
      <c r="AE63" s="97">
        <v>0</v>
      </c>
      <c r="AF63" s="96"/>
      <c r="AG63" s="97">
        <v>0</v>
      </c>
      <c r="AH63" s="97">
        <v>0</v>
      </c>
      <c r="AI63" s="96"/>
      <c r="AJ63" s="97">
        <v>0</v>
      </c>
      <c r="AK63" s="97">
        <v>0</v>
      </c>
      <c r="AL63" s="97">
        <v>0</v>
      </c>
      <c r="AM63" s="97">
        <v>0</v>
      </c>
      <c r="AN63" s="97">
        <v>0</v>
      </c>
    </row>
    <row r="64" spans="1:40" x14ac:dyDescent="0.25">
      <c r="A64" s="95" t="s">
        <v>186</v>
      </c>
      <c r="B64" s="96"/>
      <c r="C64" s="97">
        <v>0</v>
      </c>
      <c r="D64" s="97">
        <v>0</v>
      </c>
      <c r="E64" s="96"/>
      <c r="F64" s="97">
        <v>0</v>
      </c>
      <c r="G64" s="97">
        <v>0</v>
      </c>
      <c r="H64" s="96"/>
      <c r="I64" s="97">
        <v>0</v>
      </c>
      <c r="J64" s="97">
        <v>0</v>
      </c>
      <c r="K64" s="96"/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  <c r="AL64" s="97">
        <v>0</v>
      </c>
      <c r="AM64" s="97">
        <v>0</v>
      </c>
      <c r="AN64" s="97">
        <v>0</v>
      </c>
    </row>
    <row r="65" spans="1:40" x14ac:dyDescent="0.25">
      <c r="A65" s="95" t="s">
        <v>187</v>
      </c>
      <c r="B65" s="97">
        <v>0</v>
      </c>
      <c r="C65" s="97">
        <v>0</v>
      </c>
      <c r="D65" s="97">
        <v>0</v>
      </c>
      <c r="E65" s="96"/>
      <c r="F65" s="97">
        <v>0</v>
      </c>
      <c r="G65" s="97">
        <v>0</v>
      </c>
      <c r="H65" s="96"/>
      <c r="I65" s="97">
        <v>0</v>
      </c>
      <c r="J65" s="97">
        <v>0</v>
      </c>
      <c r="K65" s="96"/>
      <c r="L65" s="97">
        <v>0</v>
      </c>
      <c r="M65" s="97">
        <v>0</v>
      </c>
      <c r="N65" s="96"/>
      <c r="O65" s="97">
        <v>0</v>
      </c>
      <c r="P65" s="97">
        <v>0</v>
      </c>
      <c r="Q65" s="96"/>
      <c r="R65" s="97">
        <v>0</v>
      </c>
      <c r="S65" s="97">
        <v>0</v>
      </c>
      <c r="T65" s="96"/>
      <c r="U65" s="97">
        <v>0</v>
      </c>
      <c r="V65" s="97">
        <v>0</v>
      </c>
      <c r="W65" s="96"/>
      <c r="X65" s="97">
        <v>0</v>
      </c>
      <c r="Y65" s="97">
        <v>0</v>
      </c>
      <c r="Z65" s="96"/>
      <c r="AA65" s="97">
        <v>0</v>
      </c>
      <c r="AB65" s="97">
        <v>0</v>
      </c>
      <c r="AC65" s="96"/>
      <c r="AD65" s="97">
        <v>0</v>
      </c>
      <c r="AE65" s="97">
        <v>0</v>
      </c>
      <c r="AF65" s="96"/>
      <c r="AG65" s="97">
        <v>0</v>
      </c>
      <c r="AH65" s="97">
        <v>0</v>
      </c>
      <c r="AI65" s="96"/>
      <c r="AJ65" s="97">
        <v>0</v>
      </c>
      <c r="AK65" s="97">
        <v>0</v>
      </c>
      <c r="AL65" s="97">
        <v>0</v>
      </c>
      <c r="AM65" s="97">
        <v>0</v>
      </c>
      <c r="AN65" s="97">
        <v>0</v>
      </c>
    </row>
    <row r="66" spans="1:40" x14ac:dyDescent="0.25">
      <c r="A66" s="95" t="s">
        <v>188</v>
      </c>
      <c r="B66" s="96"/>
      <c r="C66" s="97">
        <v>0</v>
      </c>
      <c r="D66" s="97">
        <v>0</v>
      </c>
      <c r="E66" s="96"/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6"/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6"/>
      <c r="X66" s="97">
        <v>0</v>
      </c>
      <c r="Y66" s="97">
        <v>0</v>
      </c>
      <c r="Z66" s="96"/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6"/>
      <c r="AG66" s="97">
        <v>0</v>
      </c>
      <c r="AH66" s="97">
        <v>0</v>
      </c>
      <c r="AI66" s="96"/>
      <c r="AJ66" s="97">
        <v>0</v>
      </c>
      <c r="AK66" s="97">
        <v>0</v>
      </c>
      <c r="AL66" s="97">
        <v>0</v>
      </c>
      <c r="AM66" s="97">
        <v>0</v>
      </c>
      <c r="AN66" s="97">
        <v>0</v>
      </c>
    </row>
    <row r="67" spans="1:40" x14ac:dyDescent="0.25">
      <c r="A67" s="95" t="s">
        <v>189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0</v>
      </c>
    </row>
    <row r="68" spans="1:40" x14ac:dyDescent="0.25">
      <c r="A68" s="95" t="s">
        <v>190</v>
      </c>
      <c r="B68" s="96"/>
      <c r="C68" s="96"/>
      <c r="D68" s="97">
        <v>0</v>
      </c>
      <c r="E68" s="96"/>
      <c r="F68" s="96"/>
      <c r="G68" s="97">
        <v>0</v>
      </c>
      <c r="H68" s="96"/>
      <c r="I68" s="96"/>
      <c r="J68" s="97">
        <v>0</v>
      </c>
      <c r="K68" s="96"/>
      <c r="L68" s="96"/>
      <c r="M68" s="97">
        <v>0</v>
      </c>
      <c r="N68" s="96"/>
      <c r="O68" s="96"/>
      <c r="P68" s="97">
        <v>0</v>
      </c>
      <c r="Q68" s="96"/>
      <c r="R68" s="96"/>
      <c r="S68" s="97">
        <v>0</v>
      </c>
      <c r="T68" s="96"/>
      <c r="U68" s="96"/>
      <c r="V68" s="97">
        <v>0</v>
      </c>
      <c r="W68" s="96"/>
      <c r="X68" s="96"/>
      <c r="Y68" s="97">
        <v>0</v>
      </c>
      <c r="Z68" s="96"/>
      <c r="AA68" s="96"/>
      <c r="AB68" s="97">
        <v>0</v>
      </c>
      <c r="AC68" s="96"/>
      <c r="AD68" s="96"/>
      <c r="AE68" s="97">
        <v>0</v>
      </c>
      <c r="AF68" s="96"/>
      <c r="AG68" s="96"/>
      <c r="AH68" s="97">
        <v>0</v>
      </c>
      <c r="AI68" s="96"/>
      <c r="AJ68" s="96"/>
      <c r="AK68" s="97">
        <v>0</v>
      </c>
      <c r="AL68" s="97">
        <v>0</v>
      </c>
      <c r="AM68" s="97">
        <v>0</v>
      </c>
      <c r="AN68" s="97">
        <v>0</v>
      </c>
    </row>
    <row r="69" spans="1:40" x14ac:dyDescent="0.25">
      <c r="A69" s="95" t="s">
        <v>191</v>
      </c>
      <c r="B69" s="96"/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6"/>
      <c r="I69" s="97">
        <v>0</v>
      </c>
      <c r="J69" s="97">
        <v>0</v>
      </c>
      <c r="K69" s="96"/>
      <c r="L69" s="97">
        <v>0</v>
      </c>
      <c r="M69" s="97">
        <v>0</v>
      </c>
      <c r="N69" s="96"/>
      <c r="O69" s="97">
        <v>0</v>
      </c>
      <c r="P69" s="97">
        <v>0</v>
      </c>
      <c r="Q69" s="96"/>
      <c r="R69" s="97">
        <v>0</v>
      </c>
      <c r="S69" s="97">
        <v>0</v>
      </c>
      <c r="T69" s="96"/>
      <c r="U69" s="97">
        <v>0</v>
      </c>
      <c r="V69" s="97">
        <v>0</v>
      </c>
      <c r="W69" s="96"/>
      <c r="X69" s="97">
        <v>0</v>
      </c>
      <c r="Y69" s="97">
        <v>0</v>
      </c>
      <c r="Z69" s="96"/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6"/>
      <c r="AG69" s="97">
        <v>0</v>
      </c>
      <c r="AH69" s="97">
        <v>0</v>
      </c>
      <c r="AI69" s="96"/>
      <c r="AJ69" s="97">
        <v>0</v>
      </c>
      <c r="AK69" s="97">
        <v>0</v>
      </c>
      <c r="AL69" s="97">
        <v>0</v>
      </c>
      <c r="AM69" s="97">
        <v>0</v>
      </c>
      <c r="AN69" s="97">
        <v>0</v>
      </c>
    </row>
    <row r="70" spans="1:40" x14ac:dyDescent="0.25">
      <c r="A70" s="95" t="s">
        <v>192</v>
      </c>
      <c r="B70" s="96"/>
      <c r="C70" s="97">
        <v>0</v>
      </c>
      <c r="D70" s="97">
        <v>0</v>
      </c>
      <c r="E70" s="96"/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6"/>
      <c r="O70" s="97">
        <v>0</v>
      </c>
      <c r="P70" s="97">
        <v>0</v>
      </c>
      <c r="Q70" s="96"/>
      <c r="R70" s="97">
        <v>0</v>
      </c>
      <c r="S70" s="97">
        <v>0</v>
      </c>
      <c r="T70" s="96"/>
      <c r="U70" s="97">
        <v>0</v>
      </c>
      <c r="V70" s="97">
        <v>0</v>
      </c>
      <c r="W70" s="96"/>
      <c r="X70" s="97">
        <v>0</v>
      </c>
      <c r="Y70" s="97">
        <v>0</v>
      </c>
      <c r="Z70" s="96"/>
      <c r="AA70" s="97">
        <v>0</v>
      </c>
      <c r="AB70" s="97">
        <v>0</v>
      </c>
      <c r="AC70" s="96"/>
      <c r="AD70" s="97">
        <v>0</v>
      </c>
      <c r="AE70" s="97">
        <v>0</v>
      </c>
      <c r="AF70" s="96"/>
      <c r="AG70" s="97">
        <v>0</v>
      </c>
      <c r="AH70" s="97">
        <v>0</v>
      </c>
      <c r="AI70" s="96"/>
      <c r="AJ70" s="97">
        <v>0</v>
      </c>
      <c r="AK70" s="97">
        <v>0</v>
      </c>
      <c r="AL70" s="97">
        <v>0</v>
      </c>
      <c r="AM70" s="97">
        <v>0</v>
      </c>
      <c r="AN70" s="97">
        <v>0</v>
      </c>
    </row>
    <row r="71" spans="1:40" x14ac:dyDescent="0.25">
      <c r="A71" s="95" t="s">
        <v>193</v>
      </c>
      <c r="B71" s="96"/>
      <c r="C71" s="96"/>
      <c r="D71" s="97">
        <v>0</v>
      </c>
      <c r="E71" s="97">
        <v>0</v>
      </c>
      <c r="F71" s="96"/>
      <c r="G71" s="97">
        <v>0</v>
      </c>
      <c r="H71" s="97">
        <v>0</v>
      </c>
      <c r="I71" s="96"/>
      <c r="J71" s="97">
        <v>0</v>
      </c>
      <c r="K71" s="96"/>
      <c r="L71" s="96"/>
      <c r="M71" s="97">
        <v>0</v>
      </c>
      <c r="N71" s="96"/>
      <c r="O71" s="96"/>
      <c r="P71" s="97">
        <v>0</v>
      </c>
      <c r="Q71" s="96"/>
      <c r="R71" s="96"/>
      <c r="S71" s="97">
        <v>0</v>
      </c>
      <c r="T71" s="96"/>
      <c r="U71" s="96"/>
      <c r="V71" s="97">
        <v>0</v>
      </c>
      <c r="W71" s="96"/>
      <c r="X71" s="96"/>
      <c r="Y71" s="97">
        <v>0</v>
      </c>
      <c r="Z71" s="96"/>
      <c r="AA71" s="96"/>
      <c r="AB71" s="97">
        <v>0</v>
      </c>
      <c r="AC71" s="96"/>
      <c r="AD71" s="96"/>
      <c r="AE71" s="97">
        <v>0</v>
      </c>
      <c r="AF71" s="96"/>
      <c r="AG71" s="96"/>
      <c r="AH71" s="97">
        <v>0</v>
      </c>
      <c r="AI71" s="96"/>
      <c r="AJ71" s="96"/>
      <c r="AK71" s="97">
        <v>0</v>
      </c>
      <c r="AL71" s="97">
        <v>0</v>
      </c>
      <c r="AM71" s="97">
        <v>0</v>
      </c>
      <c r="AN71" s="97">
        <v>0</v>
      </c>
    </row>
    <row r="72" spans="1:40" x14ac:dyDescent="0.25">
      <c r="A72" s="95" t="s">
        <v>194</v>
      </c>
      <c r="B72" s="97">
        <v>0</v>
      </c>
      <c r="C72" s="97">
        <v>0</v>
      </c>
      <c r="D72" s="97">
        <v>0</v>
      </c>
      <c r="E72" s="96"/>
      <c r="F72" s="97">
        <v>0</v>
      </c>
      <c r="G72" s="97">
        <v>0</v>
      </c>
      <c r="H72" s="96"/>
      <c r="I72" s="97">
        <v>0</v>
      </c>
      <c r="J72" s="97">
        <v>0</v>
      </c>
      <c r="K72" s="96"/>
      <c r="L72" s="97">
        <v>0</v>
      </c>
      <c r="M72" s="97">
        <v>0</v>
      </c>
      <c r="N72" s="96"/>
      <c r="O72" s="97">
        <v>0</v>
      </c>
      <c r="P72" s="97">
        <v>0</v>
      </c>
      <c r="Q72" s="96"/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6"/>
      <c r="X72" s="97">
        <v>0</v>
      </c>
      <c r="Y72" s="97">
        <v>0</v>
      </c>
      <c r="Z72" s="96"/>
      <c r="AA72" s="97">
        <v>0</v>
      </c>
      <c r="AB72" s="97">
        <v>0</v>
      </c>
      <c r="AC72" s="96"/>
      <c r="AD72" s="97">
        <v>0</v>
      </c>
      <c r="AE72" s="97">
        <v>0</v>
      </c>
      <c r="AF72" s="96"/>
      <c r="AG72" s="97">
        <v>0</v>
      </c>
      <c r="AH72" s="97">
        <v>0</v>
      </c>
      <c r="AI72" s="96"/>
      <c r="AJ72" s="97">
        <v>0</v>
      </c>
      <c r="AK72" s="97">
        <v>0</v>
      </c>
      <c r="AL72" s="97">
        <v>0</v>
      </c>
      <c r="AM72" s="97">
        <v>0</v>
      </c>
      <c r="AN72" s="97">
        <v>0</v>
      </c>
    </row>
    <row r="73" spans="1:40" x14ac:dyDescent="0.25">
      <c r="A73" s="95" t="s">
        <v>195</v>
      </c>
      <c r="B73" s="96"/>
      <c r="C73" s="97">
        <v>0</v>
      </c>
      <c r="D73" s="97">
        <v>0</v>
      </c>
      <c r="E73" s="96"/>
      <c r="F73" s="97">
        <v>0</v>
      </c>
      <c r="G73" s="97">
        <v>0</v>
      </c>
      <c r="H73" s="96"/>
      <c r="I73" s="97">
        <v>0</v>
      </c>
      <c r="J73" s="97">
        <v>0</v>
      </c>
      <c r="K73" s="96"/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6"/>
      <c r="R73" s="97">
        <v>0</v>
      </c>
      <c r="S73" s="97">
        <v>0</v>
      </c>
      <c r="T73" s="96"/>
      <c r="U73" s="97">
        <v>0</v>
      </c>
      <c r="V73" s="97">
        <v>0</v>
      </c>
      <c r="W73" s="96"/>
      <c r="X73" s="97">
        <v>0</v>
      </c>
      <c r="Y73" s="97">
        <v>0</v>
      </c>
      <c r="Z73" s="96"/>
      <c r="AA73" s="97">
        <v>0</v>
      </c>
      <c r="AB73" s="97">
        <v>0</v>
      </c>
      <c r="AC73" s="96"/>
      <c r="AD73" s="97">
        <v>0</v>
      </c>
      <c r="AE73" s="97">
        <v>0</v>
      </c>
      <c r="AF73" s="96"/>
      <c r="AG73" s="97">
        <v>0</v>
      </c>
      <c r="AH73" s="97">
        <v>0</v>
      </c>
      <c r="AI73" s="96"/>
      <c r="AJ73" s="97">
        <v>0</v>
      </c>
      <c r="AK73" s="97">
        <v>0</v>
      </c>
      <c r="AL73" s="97">
        <v>0</v>
      </c>
      <c r="AM73" s="97">
        <v>0</v>
      </c>
      <c r="AN73" s="97">
        <v>0</v>
      </c>
    </row>
    <row r="74" spans="1:40" x14ac:dyDescent="0.25">
      <c r="A74" s="95" t="s">
        <v>196</v>
      </c>
      <c r="B74" s="96"/>
      <c r="C74" s="97">
        <v>0</v>
      </c>
      <c r="D74" s="97">
        <v>0</v>
      </c>
      <c r="E74" s="96"/>
      <c r="F74" s="97">
        <v>0</v>
      </c>
      <c r="G74" s="97">
        <v>0</v>
      </c>
      <c r="H74" s="96"/>
      <c r="I74" s="97">
        <v>0</v>
      </c>
      <c r="J74" s="97">
        <v>0</v>
      </c>
      <c r="K74" s="96"/>
      <c r="L74" s="97">
        <v>0</v>
      </c>
      <c r="M74" s="97">
        <v>0</v>
      </c>
      <c r="N74" s="96"/>
      <c r="O74" s="97">
        <v>0</v>
      </c>
      <c r="P74" s="97">
        <v>0</v>
      </c>
      <c r="Q74" s="96"/>
      <c r="R74" s="97">
        <v>0</v>
      </c>
      <c r="S74" s="97">
        <v>0</v>
      </c>
      <c r="T74" s="96"/>
      <c r="U74" s="97">
        <v>0</v>
      </c>
      <c r="V74" s="97">
        <v>0</v>
      </c>
      <c r="W74" s="96"/>
      <c r="X74" s="97">
        <v>0</v>
      </c>
      <c r="Y74" s="97">
        <v>0</v>
      </c>
      <c r="Z74" s="96"/>
      <c r="AA74" s="97">
        <v>0</v>
      </c>
      <c r="AB74" s="97">
        <v>0</v>
      </c>
      <c r="AC74" s="96"/>
      <c r="AD74" s="97">
        <v>0</v>
      </c>
      <c r="AE74" s="97">
        <v>0</v>
      </c>
      <c r="AF74" s="96"/>
      <c r="AG74" s="97">
        <v>0</v>
      </c>
      <c r="AH74" s="97">
        <v>0</v>
      </c>
      <c r="AI74" s="96"/>
      <c r="AJ74" s="97">
        <v>0</v>
      </c>
      <c r="AK74" s="97">
        <v>0</v>
      </c>
      <c r="AL74" s="97">
        <v>0</v>
      </c>
      <c r="AM74" s="97">
        <v>0</v>
      </c>
      <c r="AN74" s="97">
        <v>0</v>
      </c>
    </row>
    <row r="75" spans="1:40" x14ac:dyDescent="0.25">
      <c r="A75" s="95" t="s">
        <v>197</v>
      </c>
      <c r="B75" s="96"/>
      <c r="C75" s="97">
        <v>0</v>
      </c>
      <c r="D75" s="97">
        <v>0</v>
      </c>
      <c r="E75" s="96"/>
      <c r="F75" s="97">
        <v>0</v>
      </c>
      <c r="G75" s="97">
        <v>0</v>
      </c>
      <c r="H75" s="96"/>
      <c r="I75" s="97">
        <v>0</v>
      </c>
      <c r="J75" s="97">
        <v>0</v>
      </c>
      <c r="K75" s="96"/>
      <c r="L75" s="97">
        <v>0</v>
      </c>
      <c r="M75" s="97">
        <v>0</v>
      </c>
      <c r="N75" s="96"/>
      <c r="O75" s="97">
        <v>0</v>
      </c>
      <c r="P75" s="97">
        <v>0</v>
      </c>
      <c r="Q75" s="96"/>
      <c r="R75" s="97">
        <v>0</v>
      </c>
      <c r="S75" s="97">
        <v>0</v>
      </c>
      <c r="T75" s="96"/>
      <c r="U75" s="97">
        <v>0</v>
      </c>
      <c r="V75" s="97">
        <v>0</v>
      </c>
      <c r="W75" s="96"/>
      <c r="X75" s="97">
        <v>0</v>
      </c>
      <c r="Y75" s="97">
        <v>0</v>
      </c>
      <c r="Z75" s="96"/>
      <c r="AA75" s="97">
        <v>0</v>
      </c>
      <c r="AB75" s="97">
        <v>0</v>
      </c>
      <c r="AC75" s="96"/>
      <c r="AD75" s="97">
        <v>0</v>
      </c>
      <c r="AE75" s="97">
        <v>0</v>
      </c>
      <c r="AF75" s="96"/>
      <c r="AG75" s="97">
        <v>0</v>
      </c>
      <c r="AH75" s="97">
        <v>0</v>
      </c>
      <c r="AI75" s="96"/>
      <c r="AJ75" s="97">
        <v>0</v>
      </c>
      <c r="AK75" s="97">
        <v>0</v>
      </c>
      <c r="AL75" s="97">
        <v>0</v>
      </c>
      <c r="AM75" s="97">
        <v>0</v>
      </c>
      <c r="AN75" s="97">
        <v>0</v>
      </c>
    </row>
    <row r="76" spans="1:40" x14ac:dyDescent="0.25">
      <c r="A76" s="95" t="s">
        <v>198</v>
      </c>
      <c r="B76" s="96"/>
      <c r="C76" s="97">
        <v>0</v>
      </c>
      <c r="D76" s="97">
        <v>0</v>
      </c>
      <c r="E76" s="96"/>
      <c r="F76" s="97">
        <v>0</v>
      </c>
      <c r="G76" s="97">
        <v>0</v>
      </c>
      <c r="H76" s="96"/>
      <c r="I76" s="97">
        <v>0</v>
      </c>
      <c r="J76" s="97">
        <v>0</v>
      </c>
      <c r="K76" s="96"/>
      <c r="L76" s="97">
        <v>0</v>
      </c>
      <c r="M76" s="97">
        <v>0</v>
      </c>
      <c r="N76" s="96"/>
      <c r="O76" s="97">
        <v>0</v>
      </c>
      <c r="P76" s="97">
        <v>0</v>
      </c>
      <c r="Q76" s="96"/>
      <c r="R76" s="97">
        <v>0</v>
      </c>
      <c r="S76" s="97">
        <v>0</v>
      </c>
      <c r="T76" s="96"/>
      <c r="U76" s="97">
        <v>0</v>
      </c>
      <c r="V76" s="97">
        <v>0</v>
      </c>
      <c r="W76" s="96"/>
      <c r="X76" s="97">
        <v>0</v>
      </c>
      <c r="Y76" s="97">
        <v>0</v>
      </c>
      <c r="Z76" s="96"/>
      <c r="AA76" s="97">
        <v>0</v>
      </c>
      <c r="AB76" s="97">
        <v>0</v>
      </c>
      <c r="AC76" s="96"/>
      <c r="AD76" s="97">
        <v>0</v>
      </c>
      <c r="AE76" s="97">
        <v>0</v>
      </c>
      <c r="AF76" s="96"/>
      <c r="AG76" s="97">
        <v>0</v>
      </c>
      <c r="AH76" s="97">
        <v>0</v>
      </c>
      <c r="AI76" s="96"/>
      <c r="AJ76" s="97">
        <v>0</v>
      </c>
      <c r="AK76" s="97">
        <v>0</v>
      </c>
      <c r="AL76" s="97">
        <v>0</v>
      </c>
      <c r="AM76" s="97">
        <v>0</v>
      </c>
      <c r="AN76" s="97">
        <v>0</v>
      </c>
    </row>
    <row r="77" spans="1:40" x14ac:dyDescent="0.25">
      <c r="A77" s="95" t="s">
        <v>199</v>
      </c>
      <c r="B77" s="96"/>
      <c r="C77" s="97">
        <v>0</v>
      </c>
      <c r="D77" s="97">
        <v>0</v>
      </c>
      <c r="E77" s="96"/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6"/>
      <c r="L77" s="97">
        <v>0</v>
      </c>
      <c r="M77" s="97">
        <v>0</v>
      </c>
      <c r="N77" s="96"/>
      <c r="O77" s="97">
        <v>0</v>
      </c>
      <c r="P77" s="97">
        <v>0</v>
      </c>
      <c r="Q77" s="96"/>
      <c r="R77" s="97">
        <v>0</v>
      </c>
      <c r="S77" s="97">
        <v>0</v>
      </c>
      <c r="T77" s="96"/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7">
        <v>0</v>
      </c>
      <c r="AE77" s="97">
        <v>0</v>
      </c>
      <c r="AF77" s="96"/>
      <c r="AG77" s="97">
        <v>0</v>
      </c>
      <c r="AH77" s="97">
        <v>0</v>
      </c>
      <c r="AI77" s="96"/>
      <c r="AJ77" s="97">
        <v>0</v>
      </c>
      <c r="AK77" s="97">
        <v>0</v>
      </c>
      <c r="AL77" s="97">
        <v>0</v>
      </c>
      <c r="AM77" s="97">
        <v>0</v>
      </c>
      <c r="AN77" s="97">
        <v>0</v>
      </c>
    </row>
    <row r="78" spans="1:40" x14ac:dyDescent="0.25">
      <c r="A78" s="95" t="s">
        <v>200</v>
      </c>
      <c r="B78" s="96"/>
      <c r="C78" s="97">
        <v>0</v>
      </c>
      <c r="D78" s="97">
        <v>0</v>
      </c>
      <c r="E78" s="96"/>
      <c r="F78" s="97">
        <v>0</v>
      </c>
      <c r="G78" s="97">
        <v>0</v>
      </c>
      <c r="H78" s="96"/>
      <c r="I78" s="97">
        <v>0</v>
      </c>
      <c r="J78" s="97">
        <v>0</v>
      </c>
      <c r="K78" s="96"/>
      <c r="L78" s="97">
        <v>0</v>
      </c>
      <c r="M78" s="97">
        <v>0</v>
      </c>
      <c r="N78" s="96"/>
      <c r="O78" s="97">
        <v>0</v>
      </c>
      <c r="P78" s="97">
        <v>0</v>
      </c>
      <c r="Q78" s="96"/>
      <c r="R78" s="97">
        <v>0</v>
      </c>
      <c r="S78" s="97">
        <v>0</v>
      </c>
      <c r="T78" s="96"/>
      <c r="U78" s="97">
        <v>0</v>
      </c>
      <c r="V78" s="97">
        <v>0</v>
      </c>
      <c r="W78" s="96"/>
      <c r="X78" s="97">
        <v>0</v>
      </c>
      <c r="Y78" s="97">
        <v>0</v>
      </c>
      <c r="Z78" s="96"/>
      <c r="AA78" s="97">
        <v>0</v>
      </c>
      <c r="AB78" s="97">
        <v>0</v>
      </c>
      <c r="AC78" s="96"/>
      <c r="AD78" s="97">
        <v>0</v>
      </c>
      <c r="AE78" s="97">
        <v>0</v>
      </c>
      <c r="AF78" s="96"/>
      <c r="AG78" s="97">
        <v>0</v>
      </c>
      <c r="AH78" s="97">
        <v>0</v>
      </c>
      <c r="AI78" s="96"/>
      <c r="AJ78" s="97">
        <v>0</v>
      </c>
      <c r="AK78" s="97">
        <v>0</v>
      </c>
      <c r="AL78" s="97">
        <v>0</v>
      </c>
      <c r="AM78" s="97">
        <v>0</v>
      </c>
      <c r="AN78" s="97">
        <v>0</v>
      </c>
    </row>
    <row r="79" spans="1:40" x14ac:dyDescent="0.25">
      <c r="A79" s="95" t="s">
        <v>201</v>
      </c>
      <c r="B79" s="97">
        <v>0</v>
      </c>
      <c r="C79" s="97">
        <v>0</v>
      </c>
      <c r="D79" s="97">
        <v>0</v>
      </c>
      <c r="E79" s="96"/>
      <c r="F79" s="97">
        <v>0</v>
      </c>
      <c r="G79" s="97">
        <v>0</v>
      </c>
      <c r="H79" s="96"/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6"/>
      <c r="O79" s="97">
        <v>0</v>
      </c>
      <c r="P79" s="97">
        <v>0</v>
      </c>
      <c r="Q79" s="96"/>
      <c r="R79" s="97">
        <v>0</v>
      </c>
      <c r="S79" s="97">
        <v>0</v>
      </c>
      <c r="T79" s="97">
        <v>0</v>
      </c>
      <c r="U79" s="97">
        <v>0</v>
      </c>
      <c r="V79" s="97">
        <v>0</v>
      </c>
      <c r="W79" s="96"/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6"/>
      <c r="AJ79" s="97">
        <v>0</v>
      </c>
      <c r="AK79" s="97">
        <v>0</v>
      </c>
      <c r="AL79" s="97">
        <v>0</v>
      </c>
      <c r="AM79" s="97">
        <v>0</v>
      </c>
      <c r="AN79" s="97">
        <v>0</v>
      </c>
    </row>
    <row r="80" spans="1:40" x14ac:dyDescent="0.25">
      <c r="A80" s="95" t="s">
        <v>202</v>
      </c>
      <c r="B80" s="96"/>
      <c r="C80" s="97">
        <v>0</v>
      </c>
      <c r="D80" s="97">
        <v>0</v>
      </c>
      <c r="E80" s="96"/>
      <c r="F80" s="97">
        <v>0</v>
      </c>
      <c r="G80" s="97">
        <v>0</v>
      </c>
      <c r="H80" s="96"/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6"/>
      <c r="O80" s="97">
        <v>0</v>
      </c>
      <c r="P80" s="97">
        <v>0</v>
      </c>
      <c r="Q80" s="96"/>
      <c r="R80" s="97">
        <v>0</v>
      </c>
      <c r="S80" s="97">
        <v>0</v>
      </c>
      <c r="T80" s="97">
        <v>0</v>
      </c>
      <c r="U80" s="97">
        <v>0</v>
      </c>
      <c r="V80" s="97">
        <v>0</v>
      </c>
      <c r="W80" s="96"/>
      <c r="X80" s="97">
        <v>0</v>
      </c>
      <c r="Y80" s="97">
        <v>0</v>
      </c>
      <c r="Z80" s="96"/>
      <c r="AA80" s="97">
        <v>0</v>
      </c>
      <c r="AB80" s="97">
        <v>0</v>
      </c>
      <c r="AC80" s="96"/>
      <c r="AD80" s="97">
        <v>0</v>
      </c>
      <c r="AE80" s="97">
        <v>0</v>
      </c>
      <c r="AF80" s="96"/>
      <c r="AG80" s="97">
        <v>0</v>
      </c>
      <c r="AH80" s="97">
        <v>0</v>
      </c>
      <c r="AI80" s="96"/>
      <c r="AJ80" s="97">
        <v>0</v>
      </c>
      <c r="AK80" s="97">
        <v>0</v>
      </c>
      <c r="AL80" s="97">
        <v>0</v>
      </c>
      <c r="AM80" s="97">
        <v>0</v>
      </c>
      <c r="AN80" s="97">
        <v>0</v>
      </c>
    </row>
    <row r="81" spans="1:40" x14ac:dyDescent="0.25">
      <c r="A81" s="95" t="s">
        <v>203</v>
      </c>
      <c r="B81" s="96"/>
      <c r="C81" s="97">
        <v>0</v>
      </c>
      <c r="D81" s="97">
        <v>0</v>
      </c>
      <c r="E81" s="96"/>
      <c r="F81" s="97">
        <v>0</v>
      </c>
      <c r="G81" s="97">
        <v>0</v>
      </c>
      <c r="H81" s="96"/>
      <c r="I81" s="97">
        <v>0</v>
      </c>
      <c r="J81" s="97">
        <v>0</v>
      </c>
      <c r="K81" s="96"/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6"/>
      <c r="R81" s="97">
        <v>0</v>
      </c>
      <c r="S81" s="97">
        <v>0</v>
      </c>
      <c r="T81" s="96"/>
      <c r="U81" s="97">
        <v>0</v>
      </c>
      <c r="V81" s="97">
        <v>0</v>
      </c>
      <c r="W81" s="96"/>
      <c r="X81" s="97">
        <v>0</v>
      </c>
      <c r="Y81" s="97">
        <v>0</v>
      </c>
      <c r="Z81" s="96"/>
      <c r="AA81" s="97">
        <v>0</v>
      </c>
      <c r="AB81" s="97">
        <v>0</v>
      </c>
      <c r="AC81" s="96"/>
      <c r="AD81" s="97">
        <v>0</v>
      </c>
      <c r="AE81" s="97">
        <v>0</v>
      </c>
      <c r="AF81" s="96"/>
      <c r="AG81" s="97">
        <v>0</v>
      </c>
      <c r="AH81" s="97">
        <v>0</v>
      </c>
      <c r="AI81" s="96"/>
      <c r="AJ81" s="97">
        <v>0</v>
      </c>
      <c r="AK81" s="97">
        <v>0</v>
      </c>
      <c r="AL81" s="97">
        <v>0</v>
      </c>
      <c r="AM81" s="97">
        <v>0</v>
      </c>
      <c r="AN81" s="97">
        <v>0</v>
      </c>
    </row>
    <row r="82" spans="1:40" x14ac:dyDescent="0.25">
      <c r="A82" s="95" t="s">
        <v>204</v>
      </c>
      <c r="B82" s="97">
        <v>0</v>
      </c>
      <c r="C82" s="97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6"/>
      <c r="AG82" s="97">
        <v>0</v>
      </c>
      <c r="AH82" s="97">
        <v>0</v>
      </c>
      <c r="AI82" s="96"/>
      <c r="AJ82" s="97">
        <v>0</v>
      </c>
      <c r="AK82" s="97">
        <v>0</v>
      </c>
      <c r="AL82" s="97">
        <v>0</v>
      </c>
      <c r="AM82" s="97">
        <v>0</v>
      </c>
      <c r="AN82" s="97">
        <v>0</v>
      </c>
    </row>
    <row r="83" spans="1:40" x14ac:dyDescent="0.25">
      <c r="A83" s="95" t="s">
        <v>205</v>
      </c>
      <c r="B83" s="96"/>
      <c r="C83" s="97">
        <v>0</v>
      </c>
      <c r="D83" s="97">
        <v>0</v>
      </c>
      <c r="E83" s="96"/>
      <c r="F83" s="97">
        <v>0</v>
      </c>
      <c r="G83" s="97">
        <v>0</v>
      </c>
      <c r="H83" s="96"/>
      <c r="I83" s="97">
        <v>0</v>
      </c>
      <c r="J83" s="97">
        <v>0</v>
      </c>
      <c r="K83" s="96"/>
      <c r="L83" s="97">
        <v>0</v>
      </c>
      <c r="M83" s="97">
        <v>0</v>
      </c>
      <c r="N83" s="96"/>
      <c r="O83" s="97">
        <v>0</v>
      </c>
      <c r="P83" s="97">
        <v>0</v>
      </c>
      <c r="Q83" s="96"/>
      <c r="R83" s="97">
        <v>0</v>
      </c>
      <c r="S83" s="97">
        <v>0</v>
      </c>
      <c r="T83" s="96"/>
      <c r="U83" s="97">
        <v>0</v>
      </c>
      <c r="V83" s="97">
        <v>0</v>
      </c>
      <c r="W83" s="96"/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7">
        <v>0</v>
      </c>
      <c r="AE83" s="97">
        <v>0</v>
      </c>
      <c r="AF83" s="96"/>
      <c r="AG83" s="97">
        <v>0</v>
      </c>
      <c r="AH83" s="97">
        <v>0</v>
      </c>
      <c r="AI83" s="96"/>
      <c r="AJ83" s="97">
        <v>0</v>
      </c>
      <c r="AK83" s="97">
        <v>0</v>
      </c>
      <c r="AL83" s="97">
        <v>0</v>
      </c>
      <c r="AM83" s="97">
        <v>0</v>
      </c>
      <c r="AN83" s="97">
        <v>0</v>
      </c>
    </row>
    <row r="84" spans="1:40" x14ac:dyDescent="0.25">
      <c r="A84" s="95" t="s">
        <v>206</v>
      </c>
      <c r="B84" s="98">
        <v>0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  <c r="AH84" s="98">
        <v>0</v>
      </c>
      <c r="AI84" s="98">
        <v>0</v>
      </c>
      <c r="AJ84" s="98">
        <v>0</v>
      </c>
      <c r="AK84" s="98">
        <v>0</v>
      </c>
      <c r="AL84" s="98">
        <v>0</v>
      </c>
      <c r="AM84" s="98">
        <v>0</v>
      </c>
      <c r="AN84" s="98">
        <v>0</v>
      </c>
    </row>
    <row r="85" spans="1:40" x14ac:dyDescent="0.25">
      <c r="A85" s="95" t="s">
        <v>207</v>
      </c>
      <c r="B85" s="96"/>
      <c r="C85" s="97">
        <v>0</v>
      </c>
      <c r="D85" s="97">
        <v>0</v>
      </c>
      <c r="E85" s="96"/>
      <c r="F85" s="97">
        <v>0</v>
      </c>
      <c r="G85" s="97">
        <v>0</v>
      </c>
      <c r="H85" s="96"/>
      <c r="I85" s="97">
        <v>0</v>
      </c>
      <c r="J85" s="97">
        <v>0</v>
      </c>
      <c r="K85" s="96"/>
      <c r="L85" s="97">
        <v>0</v>
      </c>
      <c r="M85" s="97">
        <v>0</v>
      </c>
      <c r="N85" s="96"/>
      <c r="O85" s="97">
        <v>0</v>
      </c>
      <c r="P85" s="97">
        <v>0</v>
      </c>
      <c r="Q85" s="96"/>
      <c r="R85" s="97">
        <v>0</v>
      </c>
      <c r="S85" s="97">
        <v>0</v>
      </c>
      <c r="T85" s="96"/>
      <c r="U85" s="97">
        <v>0</v>
      </c>
      <c r="V85" s="97">
        <v>0</v>
      </c>
      <c r="W85" s="96"/>
      <c r="X85" s="97">
        <v>0</v>
      </c>
      <c r="Y85" s="97">
        <v>0</v>
      </c>
      <c r="Z85" s="96"/>
      <c r="AA85" s="97">
        <v>0</v>
      </c>
      <c r="AB85" s="97">
        <v>0</v>
      </c>
      <c r="AC85" s="96"/>
      <c r="AD85" s="97">
        <v>0</v>
      </c>
      <c r="AE85" s="97">
        <v>0</v>
      </c>
      <c r="AF85" s="96"/>
      <c r="AG85" s="97">
        <v>0</v>
      </c>
      <c r="AH85" s="97">
        <v>0</v>
      </c>
      <c r="AI85" s="96"/>
      <c r="AJ85" s="97">
        <v>0</v>
      </c>
      <c r="AK85" s="97">
        <v>0</v>
      </c>
      <c r="AL85" s="97">
        <v>0</v>
      </c>
      <c r="AM85" s="97">
        <v>0</v>
      </c>
      <c r="AN85" s="97">
        <v>0</v>
      </c>
    </row>
    <row r="86" spans="1:40" x14ac:dyDescent="0.25">
      <c r="A86" s="95" t="s">
        <v>208</v>
      </c>
      <c r="B86" s="96"/>
      <c r="C86" s="96"/>
      <c r="D86" s="97">
        <v>0</v>
      </c>
      <c r="E86" s="96"/>
      <c r="F86" s="96"/>
      <c r="G86" s="97">
        <v>0</v>
      </c>
      <c r="H86" s="96"/>
      <c r="I86" s="96"/>
      <c r="J86" s="97">
        <v>0</v>
      </c>
      <c r="K86" s="96"/>
      <c r="L86" s="96"/>
      <c r="M86" s="97">
        <v>0</v>
      </c>
      <c r="N86" s="96"/>
      <c r="O86" s="96"/>
      <c r="P86" s="97">
        <v>0</v>
      </c>
      <c r="Q86" s="96"/>
      <c r="R86" s="96"/>
      <c r="S86" s="97">
        <v>0</v>
      </c>
      <c r="T86" s="96"/>
      <c r="U86" s="96"/>
      <c r="V86" s="97">
        <v>0</v>
      </c>
      <c r="W86" s="96"/>
      <c r="X86" s="96"/>
      <c r="Y86" s="97">
        <v>0</v>
      </c>
      <c r="Z86" s="96"/>
      <c r="AA86" s="96"/>
      <c r="AB86" s="97">
        <v>0</v>
      </c>
      <c r="AC86" s="96"/>
      <c r="AD86" s="96"/>
      <c r="AE86" s="97">
        <v>0</v>
      </c>
      <c r="AF86" s="96"/>
      <c r="AG86" s="96"/>
      <c r="AH86" s="97">
        <v>0</v>
      </c>
      <c r="AI86" s="96"/>
      <c r="AJ86" s="96"/>
      <c r="AK86" s="97">
        <v>0</v>
      </c>
      <c r="AL86" s="97">
        <v>0</v>
      </c>
      <c r="AM86" s="97">
        <v>0</v>
      </c>
      <c r="AN86" s="97">
        <v>0</v>
      </c>
    </row>
    <row r="87" spans="1:40" x14ac:dyDescent="0.25">
      <c r="A87" s="95" t="s">
        <v>209</v>
      </c>
      <c r="B87" s="96"/>
      <c r="C87" s="97">
        <v>0</v>
      </c>
      <c r="D87" s="97">
        <v>0</v>
      </c>
      <c r="E87" s="96"/>
      <c r="F87" s="97">
        <v>0</v>
      </c>
      <c r="G87" s="97">
        <v>0</v>
      </c>
      <c r="H87" s="96"/>
      <c r="I87" s="97">
        <v>0</v>
      </c>
      <c r="J87" s="97">
        <v>0</v>
      </c>
      <c r="K87" s="96"/>
      <c r="L87" s="97">
        <v>0</v>
      </c>
      <c r="M87" s="97">
        <v>0</v>
      </c>
      <c r="N87" s="96"/>
      <c r="O87" s="97">
        <v>0</v>
      </c>
      <c r="P87" s="97">
        <v>0</v>
      </c>
      <c r="Q87" s="96"/>
      <c r="R87" s="97">
        <v>0</v>
      </c>
      <c r="S87" s="97">
        <v>0</v>
      </c>
      <c r="T87" s="96"/>
      <c r="U87" s="97">
        <v>0</v>
      </c>
      <c r="V87" s="97">
        <v>0</v>
      </c>
      <c r="W87" s="96"/>
      <c r="X87" s="97">
        <v>0</v>
      </c>
      <c r="Y87" s="97">
        <v>0</v>
      </c>
      <c r="Z87" s="96"/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6"/>
      <c r="AG87" s="97">
        <v>0</v>
      </c>
      <c r="AH87" s="97">
        <v>0</v>
      </c>
      <c r="AI87" s="96"/>
      <c r="AJ87" s="97">
        <v>0</v>
      </c>
      <c r="AK87" s="97">
        <v>0</v>
      </c>
      <c r="AL87" s="97">
        <v>0</v>
      </c>
      <c r="AM87" s="97">
        <v>0</v>
      </c>
      <c r="AN87" s="97">
        <v>0</v>
      </c>
    </row>
    <row r="88" spans="1:40" x14ac:dyDescent="0.25">
      <c r="A88" s="95" t="s">
        <v>210</v>
      </c>
      <c r="B88" s="96"/>
      <c r="C88" s="97">
        <v>0</v>
      </c>
      <c r="D88" s="97">
        <v>0</v>
      </c>
      <c r="E88" s="96"/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6"/>
      <c r="R88" s="97">
        <v>0</v>
      </c>
      <c r="S88" s="97">
        <v>0</v>
      </c>
      <c r="T88" s="96"/>
      <c r="U88" s="97">
        <v>0</v>
      </c>
      <c r="V88" s="97">
        <v>0</v>
      </c>
      <c r="W88" s="96"/>
      <c r="X88" s="97">
        <v>0</v>
      </c>
      <c r="Y88" s="97">
        <v>0</v>
      </c>
      <c r="Z88" s="96"/>
      <c r="AA88" s="97">
        <v>0</v>
      </c>
      <c r="AB88" s="97">
        <v>0</v>
      </c>
      <c r="AC88" s="96"/>
      <c r="AD88" s="97">
        <v>0</v>
      </c>
      <c r="AE88" s="97">
        <v>0</v>
      </c>
      <c r="AF88" s="96"/>
      <c r="AG88" s="97">
        <v>0</v>
      </c>
      <c r="AH88" s="97">
        <v>0</v>
      </c>
      <c r="AI88" s="96"/>
      <c r="AJ88" s="97">
        <v>0</v>
      </c>
      <c r="AK88" s="97">
        <v>0</v>
      </c>
      <c r="AL88" s="97">
        <v>0</v>
      </c>
      <c r="AM88" s="97">
        <v>0</v>
      </c>
      <c r="AN88" s="97">
        <v>0</v>
      </c>
    </row>
    <row r="89" spans="1:40" x14ac:dyDescent="0.25">
      <c r="A89" s="95" t="s">
        <v>211</v>
      </c>
      <c r="B89" s="98">
        <v>0</v>
      </c>
      <c r="C89" s="98">
        <v>0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  <c r="AB89" s="98">
        <v>0</v>
      </c>
      <c r="AC89" s="98">
        <v>0</v>
      </c>
      <c r="AD89" s="98">
        <v>0</v>
      </c>
      <c r="AE89" s="98">
        <v>0</v>
      </c>
      <c r="AF89" s="98">
        <v>0</v>
      </c>
      <c r="AG89" s="98">
        <v>0</v>
      </c>
      <c r="AH89" s="98">
        <v>0</v>
      </c>
      <c r="AI89" s="98">
        <v>0</v>
      </c>
      <c r="AJ89" s="98">
        <v>0</v>
      </c>
      <c r="AK89" s="98">
        <v>0</v>
      </c>
      <c r="AL89" s="98">
        <v>0</v>
      </c>
      <c r="AM89" s="98">
        <v>0</v>
      </c>
      <c r="AN89" s="98">
        <v>0</v>
      </c>
    </row>
    <row r="90" spans="1:40" x14ac:dyDescent="0.25">
      <c r="A90" s="95" t="s">
        <v>212</v>
      </c>
      <c r="B90" s="96"/>
      <c r="C90" s="97">
        <v>0</v>
      </c>
      <c r="D90" s="97">
        <v>0</v>
      </c>
      <c r="E90" s="96"/>
      <c r="F90" s="97">
        <v>0</v>
      </c>
      <c r="G90" s="97">
        <v>0</v>
      </c>
      <c r="H90" s="96"/>
      <c r="I90" s="97">
        <v>0</v>
      </c>
      <c r="J90" s="97">
        <v>0</v>
      </c>
      <c r="K90" s="96"/>
      <c r="L90" s="97">
        <v>0</v>
      </c>
      <c r="M90" s="97">
        <v>0</v>
      </c>
      <c r="N90" s="96"/>
      <c r="O90" s="97">
        <v>0</v>
      </c>
      <c r="P90" s="97">
        <v>0</v>
      </c>
      <c r="Q90" s="96"/>
      <c r="R90" s="97">
        <v>0</v>
      </c>
      <c r="S90" s="97">
        <v>0</v>
      </c>
      <c r="T90" s="96"/>
      <c r="U90" s="97">
        <v>0</v>
      </c>
      <c r="V90" s="97">
        <v>0</v>
      </c>
      <c r="W90" s="96"/>
      <c r="X90" s="97">
        <v>0</v>
      </c>
      <c r="Y90" s="97">
        <v>0</v>
      </c>
      <c r="Z90" s="96"/>
      <c r="AA90" s="97">
        <v>0</v>
      </c>
      <c r="AB90" s="97">
        <v>0</v>
      </c>
      <c r="AC90" s="96"/>
      <c r="AD90" s="97">
        <v>0</v>
      </c>
      <c r="AE90" s="97">
        <v>0</v>
      </c>
      <c r="AF90" s="96"/>
      <c r="AG90" s="97">
        <v>0</v>
      </c>
      <c r="AH90" s="97">
        <v>0</v>
      </c>
      <c r="AI90" s="96"/>
      <c r="AJ90" s="97">
        <v>0</v>
      </c>
      <c r="AK90" s="97">
        <v>0</v>
      </c>
      <c r="AL90" s="97">
        <v>0</v>
      </c>
      <c r="AM90" s="97">
        <v>0</v>
      </c>
      <c r="AN90" s="97">
        <v>0</v>
      </c>
    </row>
    <row r="91" spans="1:40" x14ac:dyDescent="0.25">
      <c r="A91" s="95" t="s">
        <v>213</v>
      </c>
      <c r="B91" s="96"/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6"/>
      <c r="L91" s="97">
        <v>0</v>
      </c>
      <c r="M91" s="97">
        <v>0</v>
      </c>
      <c r="N91" s="96"/>
      <c r="O91" s="97">
        <v>0</v>
      </c>
      <c r="P91" s="97">
        <v>0</v>
      </c>
      <c r="Q91" s="96"/>
      <c r="R91" s="97">
        <v>0</v>
      </c>
      <c r="S91" s="97">
        <v>0</v>
      </c>
      <c r="T91" s="96"/>
      <c r="U91" s="97">
        <v>0</v>
      </c>
      <c r="V91" s="97">
        <v>0</v>
      </c>
      <c r="W91" s="96"/>
      <c r="X91" s="97">
        <v>0</v>
      </c>
      <c r="Y91" s="97">
        <v>0</v>
      </c>
      <c r="Z91" s="96"/>
      <c r="AA91" s="97">
        <v>0</v>
      </c>
      <c r="AB91" s="97">
        <v>0</v>
      </c>
      <c r="AC91" s="96"/>
      <c r="AD91" s="97">
        <v>0</v>
      </c>
      <c r="AE91" s="97">
        <v>0</v>
      </c>
      <c r="AF91" s="96"/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7">
        <v>0</v>
      </c>
      <c r="AN91" s="97">
        <v>0</v>
      </c>
    </row>
    <row r="92" spans="1:40" x14ac:dyDescent="0.25">
      <c r="A92" s="95" t="s">
        <v>214</v>
      </c>
      <c r="B92" s="96"/>
      <c r="C92" s="97">
        <v>0</v>
      </c>
      <c r="D92" s="97">
        <v>0</v>
      </c>
      <c r="E92" s="96"/>
      <c r="F92" s="97">
        <v>0</v>
      </c>
      <c r="G92" s="97">
        <v>0</v>
      </c>
      <c r="H92" s="96"/>
      <c r="I92" s="97">
        <v>0</v>
      </c>
      <c r="J92" s="97">
        <v>0</v>
      </c>
      <c r="K92" s="96"/>
      <c r="L92" s="97">
        <v>0</v>
      </c>
      <c r="M92" s="97">
        <v>0</v>
      </c>
      <c r="N92" s="96"/>
      <c r="O92" s="97">
        <v>0</v>
      </c>
      <c r="P92" s="97">
        <v>0</v>
      </c>
      <c r="Q92" s="96"/>
      <c r="R92" s="97">
        <v>0</v>
      </c>
      <c r="S92" s="97">
        <v>0</v>
      </c>
      <c r="T92" s="97">
        <v>0</v>
      </c>
      <c r="U92" s="97">
        <v>0</v>
      </c>
      <c r="V92" s="97">
        <v>0</v>
      </c>
      <c r="W92" s="96"/>
      <c r="X92" s="97">
        <v>0</v>
      </c>
      <c r="Y92" s="97">
        <v>0</v>
      </c>
      <c r="Z92" s="96"/>
      <c r="AA92" s="97">
        <v>0</v>
      </c>
      <c r="AB92" s="97">
        <v>0</v>
      </c>
      <c r="AC92" s="96"/>
      <c r="AD92" s="97">
        <v>0</v>
      </c>
      <c r="AE92" s="97">
        <v>0</v>
      </c>
      <c r="AF92" s="96"/>
      <c r="AG92" s="97">
        <v>0</v>
      </c>
      <c r="AH92" s="97">
        <v>0</v>
      </c>
      <c r="AI92" s="96"/>
      <c r="AJ92" s="97">
        <v>0</v>
      </c>
      <c r="AK92" s="97">
        <v>0</v>
      </c>
      <c r="AL92" s="97">
        <v>0</v>
      </c>
      <c r="AM92" s="97">
        <v>0</v>
      </c>
      <c r="AN92" s="97">
        <v>0</v>
      </c>
    </row>
    <row r="93" spans="1:40" x14ac:dyDescent="0.25">
      <c r="A93" s="95" t="s">
        <v>215</v>
      </c>
      <c r="B93" s="98">
        <v>0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v>0</v>
      </c>
      <c r="AF93" s="98">
        <v>0</v>
      </c>
      <c r="AG93" s="98">
        <v>0</v>
      </c>
      <c r="AH93" s="98">
        <v>0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0</v>
      </c>
    </row>
    <row r="94" spans="1:40" x14ac:dyDescent="0.25">
      <c r="A94" s="95" t="s">
        <v>216</v>
      </c>
      <c r="B94" s="98">
        <v>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0</v>
      </c>
      <c r="AD94" s="98">
        <v>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8">
        <v>0</v>
      </c>
      <c r="AN94" s="98">
        <v>0</v>
      </c>
    </row>
    <row r="95" spans="1:40" x14ac:dyDescent="0.25">
      <c r="A95" s="95" t="s">
        <v>217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</row>
    <row r="96" spans="1:40" x14ac:dyDescent="0.25">
      <c r="A96" s="95" t="s">
        <v>218</v>
      </c>
      <c r="B96" s="96"/>
      <c r="C96" s="96"/>
      <c r="D96" s="97">
        <v>0</v>
      </c>
      <c r="E96" s="96"/>
      <c r="F96" s="96"/>
      <c r="G96" s="97">
        <v>0</v>
      </c>
      <c r="H96" s="96"/>
      <c r="I96" s="96"/>
      <c r="J96" s="97">
        <v>0</v>
      </c>
      <c r="K96" s="96"/>
      <c r="L96" s="96"/>
      <c r="M96" s="97">
        <v>0</v>
      </c>
      <c r="N96" s="97">
        <v>0</v>
      </c>
      <c r="O96" s="96"/>
      <c r="P96" s="97">
        <v>0</v>
      </c>
      <c r="Q96" s="96"/>
      <c r="R96" s="96"/>
      <c r="S96" s="97">
        <v>0</v>
      </c>
      <c r="T96" s="96"/>
      <c r="U96" s="96"/>
      <c r="V96" s="97">
        <v>0</v>
      </c>
      <c r="W96" s="96"/>
      <c r="X96" s="96"/>
      <c r="Y96" s="97">
        <v>0</v>
      </c>
      <c r="Z96" s="96"/>
      <c r="AA96" s="96"/>
      <c r="AB96" s="97">
        <v>0</v>
      </c>
      <c r="AC96" s="96"/>
      <c r="AD96" s="96"/>
      <c r="AE96" s="97">
        <v>0</v>
      </c>
      <c r="AF96" s="96"/>
      <c r="AG96" s="96"/>
      <c r="AH96" s="97">
        <v>0</v>
      </c>
      <c r="AI96" s="96"/>
      <c r="AJ96" s="96"/>
      <c r="AK96" s="97">
        <v>0</v>
      </c>
      <c r="AL96" s="97">
        <v>0</v>
      </c>
      <c r="AM96" s="97">
        <v>0</v>
      </c>
      <c r="AN96" s="97">
        <v>0</v>
      </c>
    </row>
    <row r="97" spans="1:40" x14ac:dyDescent="0.25">
      <c r="A97" s="95" t="s">
        <v>219</v>
      </c>
      <c r="B97" s="96"/>
      <c r="C97" s="96"/>
      <c r="D97" s="97">
        <v>0</v>
      </c>
      <c r="E97" s="97">
        <v>0</v>
      </c>
      <c r="F97" s="96"/>
      <c r="G97" s="97">
        <v>0</v>
      </c>
      <c r="H97" s="97">
        <v>0</v>
      </c>
      <c r="I97" s="96"/>
      <c r="J97" s="97">
        <v>0</v>
      </c>
      <c r="K97" s="97">
        <v>0</v>
      </c>
      <c r="L97" s="96"/>
      <c r="M97" s="97">
        <v>0</v>
      </c>
      <c r="N97" s="97">
        <v>0</v>
      </c>
      <c r="O97" s="96"/>
      <c r="P97" s="97">
        <v>0</v>
      </c>
      <c r="Q97" s="96"/>
      <c r="R97" s="96"/>
      <c r="S97" s="97">
        <v>0</v>
      </c>
      <c r="T97" s="96"/>
      <c r="U97" s="96"/>
      <c r="V97" s="97">
        <v>0</v>
      </c>
      <c r="W97" s="96"/>
      <c r="X97" s="96"/>
      <c r="Y97" s="97">
        <v>0</v>
      </c>
      <c r="Z97" s="96"/>
      <c r="AA97" s="96"/>
      <c r="AB97" s="97">
        <v>0</v>
      </c>
      <c r="AC97" s="97">
        <v>0</v>
      </c>
      <c r="AD97" s="96"/>
      <c r="AE97" s="97">
        <v>0</v>
      </c>
      <c r="AF97" s="96"/>
      <c r="AG97" s="96"/>
      <c r="AH97" s="97">
        <v>0</v>
      </c>
      <c r="AI97" s="96"/>
      <c r="AJ97" s="96"/>
      <c r="AK97" s="97">
        <v>0</v>
      </c>
      <c r="AL97" s="97">
        <v>0</v>
      </c>
      <c r="AM97" s="97">
        <v>0</v>
      </c>
      <c r="AN97" s="97">
        <v>0</v>
      </c>
    </row>
    <row r="98" spans="1:40" x14ac:dyDescent="0.25">
      <c r="A98" s="95" t="s">
        <v>220</v>
      </c>
      <c r="B98" s="96"/>
      <c r="C98" s="96"/>
      <c r="D98" s="97">
        <v>0</v>
      </c>
      <c r="E98" s="97">
        <v>0</v>
      </c>
      <c r="F98" s="96"/>
      <c r="G98" s="97">
        <v>0</v>
      </c>
      <c r="H98" s="96"/>
      <c r="I98" s="96"/>
      <c r="J98" s="97">
        <v>0</v>
      </c>
      <c r="K98" s="97">
        <v>0</v>
      </c>
      <c r="L98" s="96"/>
      <c r="M98" s="97">
        <v>0</v>
      </c>
      <c r="N98" s="96"/>
      <c r="O98" s="96"/>
      <c r="P98" s="97">
        <v>0</v>
      </c>
      <c r="Q98" s="96"/>
      <c r="R98" s="96"/>
      <c r="S98" s="97">
        <v>0</v>
      </c>
      <c r="T98" s="96"/>
      <c r="U98" s="96"/>
      <c r="V98" s="97">
        <v>0</v>
      </c>
      <c r="W98" s="96"/>
      <c r="X98" s="96"/>
      <c r="Y98" s="97">
        <v>0</v>
      </c>
      <c r="Z98" s="96"/>
      <c r="AA98" s="96"/>
      <c r="AB98" s="97">
        <v>0</v>
      </c>
      <c r="AC98" s="97">
        <v>0</v>
      </c>
      <c r="AD98" s="96"/>
      <c r="AE98" s="97">
        <v>0</v>
      </c>
      <c r="AF98" s="96"/>
      <c r="AG98" s="96"/>
      <c r="AH98" s="97">
        <v>0</v>
      </c>
      <c r="AI98" s="96"/>
      <c r="AJ98" s="96"/>
      <c r="AK98" s="97">
        <v>0</v>
      </c>
      <c r="AL98" s="97">
        <v>0</v>
      </c>
      <c r="AM98" s="97">
        <v>0</v>
      </c>
      <c r="AN98" s="97">
        <v>0</v>
      </c>
    </row>
    <row r="99" spans="1:40" x14ac:dyDescent="0.25">
      <c r="A99" s="95" t="s">
        <v>221</v>
      </c>
      <c r="B99" s="96"/>
      <c r="C99" s="96"/>
      <c r="D99" s="97">
        <v>0</v>
      </c>
      <c r="E99" s="97">
        <v>0</v>
      </c>
      <c r="F99" s="96"/>
      <c r="G99" s="97">
        <v>0</v>
      </c>
      <c r="H99" s="96"/>
      <c r="I99" s="96"/>
      <c r="J99" s="97">
        <v>0</v>
      </c>
      <c r="K99" s="96"/>
      <c r="L99" s="96"/>
      <c r="M99" s="97">
        <v>0</v>
      </c>
      <c r="N99" s="97">
        <v>0</v>
      </c>
      <c r="O99" s="96"/>
      <c r="P99" s="97">
        <v>0</v>
      </c>
      <c r="Q99" s="97">
        <v>0</v>
      </c>
      <c r="R99" s="96"/>
      <c r="S99" s="97">
        <v>0</v>
      </c>
      <c r="T99" s="97">
        <v>0</v>
      </c>
      <c r="U99" s="96"/>
      <c r="V99" s="97">
        <v>0</v>
      </c>
      <c r="W99" s="97">
        <v>0</v>
      </c>
      <c r="X99" s="96"/>
      <c r="Y99" s="97">
        <v>0</v>
      </c>
      <c r="Z99" s="97">
        <v>0</v>
      </c>
      <c r="AA99" s="96"/>
      <c r="AB99" s="97">
        <v>0</v>
      </c>
      <c r="AC99" s="97">
        <v>0</v>
      </c>
      <c r="AD99" s="96"/>
      <c r="AE99" s="97">
        <v>0</v>
      </c>
      <c r="AF99" s="96"/>
      <c r="AG99" s="96"/>
      <c r="AH99" s="97">
        <v>0</v>
      </c>
      <c r="AI99" s="96"/>
      <c r="AJ99" s="96"/>
      <c r="AK99" s="97">
        <v>0</v>
      </c>
      <c r="AL99" s="97">
        <v>0</v>
      </c>
      <c r="AM99" s="97">
        <v>0</v>
      </c>
      <c r="AN99" s="97">
        <v>0</v>
      </c>
    </row>
    <row r="100" spans="1:40" x14ac:dyDescent="0.25">
      <c r="A100" s="95" t="s">
        <v>254</v>
      </c>
      <c r="B100" s="96"/>
      <c r="C100" s="96"/>
      <c r="D100" s="97">
        <v>0</v>
      </c>
      <c r="E100" s="96"/>
      <c r="F100" s="96"/>
      <c r="G100" s="97">
        <v>0</v>
      </c>
      <c r="H100" s="96"/>
      <c r="I100" s="96"/>
      <c r="J100" s="97">
        <v>0</v>
      </c>
      <c r="K100" s="96"/>
      <c r="L100" s="96"/>
      <c r="M100" s="97">
        <v>0</v>
      </c>
      <c r="N100" s="96"/>
      <c r="O100" s="96"/>
      <c r="P100" s="97">
        <v>0</v>
      </c>
      <c r="Q100" s="96"/>
      <c r="R100" s="96"/>
      <c r="S100" s="97">
        <v>0</v>
      </c>
      <c r="T100" s="97">
        <v>0</v>
      </c>
      <c r="U100" s="96"/>
      <c r="V100" s="97">
        <v>0</v>
      </c>
      <c r="W100" s="96"/>
      <c r="X100" s="96"/>
      <c r="Y100" s="97">
        <v>0</v>
      </c>
      <c r="Z100" s="96"/>
      <c r="AA100" s="96"/>
      <c r="AB100" s="97">
        <v>0</v>
      </c>
      <c r="AC100" s="96"/>
      <c r="AD100" s="96"/>
      <c r="AE100" s="97">
        <v>0</v>
      </c>
      <c r="AF100" s="96"/>
      <c r="AG100" s="96"/>
      <c r="AH100" s="97">
        <v>0</v>
      </c>
      <c r="AI100" s="96"/>
      <c r="AJ100" s="96"/>
      <c r="AK100" s="97">
        <v>0</v>
      </c>
      <c r="AL100" s="97">
        <v>0</v>
      </c>
      <c r="AM100" s="97">
        <v>0</v>
      </c>
      <c r="AN100" s="97">
        <v>0</v>
      </c>
    </row>
    <row r="101" spans="1:40" x14ac:dyDescent="0.25">
      <c r="A101" s="95" t="s">
        <v>255</v>
      </c>
      <c r="B101" s="98">
        <v>0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0</v>
      </c>
      <c r="AE101" s="98">
        <v>0</v>
      </c>
      <c r="AF101" s="98">
        <v>0</v>
      </c>
      <c r="AG101" s="98">
        <v>0</v>
      </c>
      <c r="AH101" s="98">
        <v>0</v>
      </c>
      <c r="AI101" s="98">
        <v>0</v>
      </c>
      <c r="AJ101" s="98">
        <v>0</v>
      </c>
      <c r="AK101" s="98">
        <v>0</v>
      </c>
      <c r="AL101" s="98">
        <v>0</v>
      </c>
      <c r="AM101" s="98">
        <v>0</v>
      </c>
      <c r="AN101" s="98">
        <v>0</v>
      </c>
    </row>
    <row r="102" spans="1:40" x14ac:dyDescent="0.25">
      <c r="A102" s="95" t="s">
        <v>222</v>
      </c>
      <c r="B102" s="96"/>
      <c r="C102" s="96"/>
      <c r="D102" s="97">
        <v>0</v>
      </c>
      <c r="E102" s="96"/>
      <c r="F102" s="96"/>
      <c r="G102" s="97">
        <v>0</v>
      </c>
      <c r="H102" s="97">
        <v>0</v>
      </c>
      <c r="I102" s="96"/>
      <c r="J102" s="97">
        <v>0</v>
      </c>
      <c r="K102" s="97">
        <v>0</v>
      </c>
      <c r="L102" s="96"/>
      <c r="M102" s="97">
        <v>0</v>
      </c>
      <c r="N102" s="96"/>
      <c r="O102" s="96"/>
      <c r="P102" s="97">
        <v>0</v>
      </c>
      <c r="Q102" s="96"/>
      <c r="R102" s="96"/>
      <c r="S102" s="97">
        <v>0</v>
      </c>
      <c r="T102" s="96"/>
      <c r="U102" s="96"/>
      <c r="V102" s="97">
        <v>0</v>
      </c>
      <c r="W102" s="96"/>
      <c r="X102" s="96"/>
      <c r="Y102" s="97">
        <v>0</v>
      </c>
      <c r="Z102" s="96"/>
      <c r="AA102" s="96"/>
      <c r="AB102" s="97">
        <v>0</v>
      </c>
      <c r="AC102" s="96"/>
      <c r="AD102" s="96"/>
      <c r="AE102" s="97">
        <v>0</v>
      </c>
      <c r="AF102" s="96"/>
      <c r="AG102" s="96"/>
      <c r="AH102" s="97">
        <v>0</v>
      </c>
      <c r="AI102" s="96"/>
      <c r="AJ102" s="96"/>
      <c r="AK102" s="97">
        <v>0</v>
      </c>
      <c r="AL102" s="97">
        <v>0</v>
      </c>
      <c r="AM102" s="97">
        <v>0</v>
      </c>
      <c r="AN102" s="97">
        <v>0</v>
      </c>
    </row>
    <row r="103" spans="1:40" x14ac:dyDescent="0.25">
      <c r="A103" s="95" t="s">
        <v>223</v>
      </c>
      <c r="B103" s="96"/>
      <c r="C103" s="96"/>
      <c r="D103" s="97">
        <v>0</v>
      </c>
      <c r="E103" s="97">
        <v>0</v>
      </c>
      <c r="F103" s="96"/>
      <c r="G103" s="97">
        <v>0</v>
      </c>
      <c r="H103" s="96"/>
      <c r="I103" s="96"/>
      <c r="J103" s="97">
        <v>0</v>
      </c>
      <c r="K103" s="97">
        <v>0</v>
      </c>
      <c r="L103" s="96"/>
      <c r="M103" s="97">
        <v>0</v>
      </c>
      <c r="N103" s="96"/>
      <c r="O103" s="96"/>
      <c r="P103" s="97">
        <v>0</v>
      </c>
      <c r="Q103" s="97">
        <v>0</v>
      </c>
      <c r="R103" s="96"/>
      <c r="S103" s="97">
        <v>0</v>
      </c>
      <c r="T103" s="96"/>
      <c r="U103" s="96"/>
      <c r="V103" s="97">
        <v>0</v>
      </c>
      <c r="W103" s="96"/>
      <c r="X103" s="96"/>
      <c r="Y103" s="97">
        <v>0</v>
      </c>
      <c r="Z103" s="96"/>
      <c r="AA103" s="96"/>
      <c r="AB103" s="97">
        <v>0</v>
      </c>
      <c r="AC103" s="96"/>
      <c r="AD103" s="96"/>
      <c r="AE103" s="97">
        <v>0</v>
      </c>
      <c r="AF103" s="96"/>
      <c r="AG103" s="96"/>
      <c r="AH103" s="97">
        <v>0</v>
      </c>
      <c r="AI103" s="96"/>
      <c r="AJ103" s="96"/>
      <c r="AK103" s="97">
        <v>0</v>
      </c>
      <c r="AL103" s="97">
        <v>0</v>
      </c>
      <c r="AM103" s="97">
        <v>0</v>
      </c>
      <c r="AN103" s="97">
        <v>0</v>
      </c>
    </row>
    <row r="104" spans="1:40" x14ac:dyDescent="0.25">
      <c r="A104" s="95" t="s">
        <v>224</v>
      </c>
      <c r="B104" s="97">
        <v>0</v>
      </c>
      <c r="C104" s="96"/>
      <c r="D104" s="97">
        <v>0</v>
      </c>
      <c r="E104" s="97">
        <v>0</v>
      </c>
      <c r="F104" s="96"/>
      <c r="G104" s="97">
        <v>0</v>
      </c>
      <c r="H104" s="96"/>
      <c r="I104" s="96"/>
      <c r="J104" s="97">
        <v>0</v>
      </c>
      <c r="K104" s="97">
        <v>0</v>
      </c>
      <c r="L104" s="96"/>
      <c r="M104" s="97">
        <v>0</v>
      </c>
      <c r="N104" s="96"/>
      <c r="O104" s="96"/>
      <c r="P104" s="97">
        <v>0</v>
      </c>
      <c r="Q104" s="96"/>
      <c r="R104" s="96"/>
      <c r="S104" s="97">
        <v>0</v>
      </c>
      <c r="T104" s="96"/>
      <c r="U104" s="96"/>
      <c r="V104" s="97">
        <v>0</v>
      </c>
      <c r="W104" s="97">
        <v>0</v>
      </c>
      <c r="X104" s="96"/>
      <c r="Y104" s="97">
        <v>0</v>
      </c>
      <c r="Z104" s="97">
        <v>0</v>
      </c>
      <c r="AA104" s="96"/>
      <c r="AB104" s="97">
        <v>0</v>
      </c>
      <c r="AC104" s="97">
        <v>0</v>
      </c>
      <c r="AD104" s="96"/>
      <c r="AE104" s="97">
        <v>0</v>
      </c>
      <c r="AF104" s="96"/>
      <c r="AG104" s="96"/>
      <c r="AH104" s="97">
        <v>0</v>
      </c>
      <c r="AI104" s="96"/>
      <c r="AJ104" s="96"/>
      <c r="AK104" s="97">
        <v>0</v>
      </c>
      <c r="AL104" s="97">
        <v>0</v>
      </c>
      <c r="AM104" s="97">
        <v>0</v>
      </c>
      <c r="AN104" s="97">
        <v>0</v>
      </c>
    </row>
    <row r="105" spans="1:40" x14ac:dyDescent="0.25">
      <c r="A105" s="95" t="s">
        <v>225</v>
      </c>
      <c r="B105" s="96"/>
      <c r="C105" s="96"/>
      <c r="D105" s="97">
        <v>0</v>
      </c>
      <c r="E105" s="97">
        <v>0</v>
      </c>
      <c r="F105" s="96"/>
      <c r="G105" s="97">
        <v>0</v>
      </c>
      <c r="H105" s="96"/>
      <c r="I105" s="96"/>
      <c r="J105" s="97">
        <v>0</v>
      </c>
      <c r="K105" s="96"/>
      <c r="L105" s="96"/>
      <c r="M105" s="97">
        <v>0</v>
      </c>
      <c r="N105" s="96"/>
      <c r="O105" s="96"/>
      <c r="P105" s="97">
        <v>0</v>
      </c>
      <c r="Q105" s="97">
        <v>0</v>
      </c>
      <c r="R105" s="96"/>
      <c r="S105" s="97">
        <v>0</v>
      </c>
      <c r="T105" s="97">
        <v>0</v>
      </c>
      <c r="U105" s="96"/>
      <c r="V105" s="97">
        <v>0</v>
      </c>
      <c r="W105" s="96"/>
      <c r="X105" s="96"/>
      <c r="Y105" s="97">
        <v>0</v>
      </c>
      <c r="Z105" s="97">
        <v>0</v>
      </c>
      <c r="AA105" s="96"/>
      <c r="AB105" s="97">
        <v>0</v>
      </c>
      <c r="AC105" s="96"/>
      <c r="AD105" s="96"/>
      <c r="AE105" s="97">
        <v>0</v>
      </c>
      <c r="AF105" s="96"/>
      <c r="AG105" s="96"/>
      <c r="AH105" s="97">
        <v>0</v>
      </c>
      <c r="AI105" s="96"/>
      <c r="AJ105" s="96"/>
      <c r="AK105" s="97">
        <v>0</v>
      </c>
      <c r="AL105" s="97">
        <v>0</v>
      </c>
      <c r="AM105" s="97">
        <v>0</v>
      </c>
      <c r="AN105" s="97">
        <v>0</v>
      </c>
    </row>
    <row r="106" spans="1:40" x14ac:dyDescent="0.25">
      <c r="A106" s="95" t="s">
        <v>226</v>
      </c>
      <c r="B106" s="96"/>
      <c r="C106" s="96"/>
      <c r="D106" s="97">
        <v>0</v>
      </c>
      <c r="E106" s="96"/>
      <c r="F106" s="96"/>
      <c r="G106" s="97">
        <v>0</v>
      </c>
      <c r="H106" s="96"/>
      <c r="I106" s="96"/>
      <c r="J106" s="97">
        <v>0</v>
      </c>
      <c r="K106" s="96"/>
      <c r="L106" s="96"/>
      <c r="M106" s="97">
        <v>0</v>
      </c>
      <c r="N106" s="97">
        <v>0</v>
      </c>
      <c r="O106" s="96"/>
      <c r="P106" s="97">
        <v>0</v>
      </c>
      <c r="Q106" s="97">
        <v>0</v>
      </c>
      <c r="R106" s="96"/>
      <c r="S106" s="97">
        <v>0</v>
      </c>
      <c r="T106" s="97">
        <v>0</v>
      </c>
      <c r="U106" s="96"/>
      <c r="V106" s="97">
        <v>0</v>
      </c>
      <c r="W106" s="97">
        <v>0</v>
      </c>
      <c r="X106" s="96"/>
      <c r="Y106" s="97">
        <v>0</v>
      </c>
      <c r="Z106" s="97">
        <v>0</v>
      </c>
      <c r="AA106" s="96"/>
      <c r="AB106" s="97">
        <v>0</v>
      </c>
      <c r="AC106" s="97">
        <v>0</v>
      </c>
      <c r="AD106" s="96"/>
      <c r="AE106" s="97">
        <v>0</v>
      </c>
      <c r="AF106" s="96"/>
      <c r="AG106" s="96"/>
      <c r="AH106" s="97">
        <v>0</v>
      </c>
      <c r="AI106" s="96"/>
      <c r="AJ106" s="96"/>
      <c r="AK106" s="97">
        <v>0</v>
      </c>
      <c r="AL106" s="97">
        <v>0</v>
      </c>
      <c r="AM106" s="97">
        <v>0</v>
      </c>
      <c r="AN106" s="97">
        <v>0</v>
      </c>
    </row>
    <row r="107" spans="1:40" x14ac:dyDescent="0.25">
      <c r="A107" s="95" t="s">
        <v>227</v>
      </c>
      <c r="B107" s="97">
        <v>0</v>
      </c>
      <c r="C107" s="96"/>
      <c r="D107" s="97">
        <v>0</v>
      </c>
      <c r="E107" s="97">
        <v>0</v>
      </c>
      <c r="F107" s="96"/>
      <c r="G107" s="97">
        <v>0</v>
      </c>
      <c r="H107" s="97">
        <v>0</v>
      </c>
      <c r="I107" s="96"/>
      <c r="J107" s="97">
        <v>0</v>
      </c>
      <c r="K107" s="97">
        <v>0</v>
      </c>
      <c r="L107" s="96"/>
      <c r="M107" s="97">
        <v>0</v>
      </c>
      <c r="N107" s="97">
        <v>0</v>
      </c>
      <c r="O107" s="96"/>
      <c r="P107" s="97">
        <v>0</v>
      </c>
      <c r="Q107" s="96"/>
      <c r="R107" s="96"/>
      <c r="S107" s="97">
        <v>0</v>
      </c>
      <c r="T107" s="96"/>
      <c r="U107" s="96"/>
      <c r="V107" s="97">
        <v>0</v>
      </c>
      <c r="W107" s="96"/>
      <c r="X107" s="96"/>
      <c r="Y107" s="97">
        <v>0</v>
      </c>
      <c r="Z107" s="96"/>
      <c r="AA107" s="96"/>
      <c r="AB107" s="97">
        <v>0</v>
      </c>
      <c r="AC107" s="96"/>
      <c r="AD107" s="96"/>
      <c r="AE107" s="97">
        <v>0</v>
      </c>
      <c r="AF107" s="96"/>
      <c r="AG107" s="96"/>
      <c r="AH107" s="97">
        <v>0</v>
      </c>
      <c r="AI107" s="96"/>
      <c r="AJ107" s="96"/>
      <c r="AK107" s="97">
        <v>0</v>
      </c>
      <c r="AL107" s="97">
        <v>0</v>
      </c>
      <c r="AM107" s="97">
        <v>0</v>
      </c>
      <c r="AN107" s="97">
        <v>0</v>
      </c>
    </row>
    <row r="108" spans="1:40" x14ac:dyDescent="0.25">
      <c r="A108" s="95" t="s">
        <v>228</v>
      </c>
      <c r="B108" s="98">
        <v>0</v>
      </c>
      <c r="C108" s="98">
        <v>0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8">
        <v>0</v>
      </c>
      <c r="S108" s="98">
        <v>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8">
        <v>0</v>
      </c>
      <c r="AB108" s="98">
        <v>0</v>
      </c>
      <c r="AC108" s="98">
        <v>0</v>
      </c>
      <c r="AD108" s="98">
        <v>0</v>
      </c>
      <c r="AE108" s="98">
        <v>0</v>
      </c>
      <c r="AF108" s="98">
        <v>0</v>
      </c>
      <c r="AG108" s="98">
        <v>0</v>
      </c>
      <c r="AH108" s="98">
        <v>0</v>
      </c>
      <c r="AI108" s="98">
        <v>0</v>
      </c>
      <c r="AJ108" s="98">
        <v>0</v>
      </c>
      <c r="AK108" s="98">
        <v>0</v>
      </c>
      <c r="AL108" s="98">
        <v>0</v>
      </c>
      <c r="AM108" s="98">
        <v>0</v>
      </c>
      <c r="AN108" s="98">
        <v>0</v>
      </c>
    </row>
    <row r="109" spans="1:40" x14ac:dyDescent="0.25">
      <c r="A109" s="95" t="s">
        <v>229</v>
      </c>
      <c r="B109" s="97">
        <v>0</v>
      </c>
      <c r="C109" s="96"/>
      <c r="D109" s="97">
        <v>0</v>
      </c>
      <c r="E109" s="97">
        <v>0</v>
      </c>
      <c r="F109" s="96"/>
      <c r="G109" s="97">
        <v>0</v>
      </c>
      <c r="H109" s="97">
        <v>0</v>
      </c>
      <c r="I109" s="96"/>
      <c r="J109" s="97">
        <v>0</v>
      </c>
      <c r="K109" s="96"/>
      <c r="L109" s="96"/>
      <c r="M109" s="97">
        <v>0</v>
      </c>
      <c r="N109" s="97">
        <v>0</v>
      </c>
      <c r="O109" s="96"/>
      <c r="P109" s="97">
        <v>0</v>
      </c>
      <c r="Q109" s="97">
        <v>0</v>
      </c>
      <c r="R109" s="96"/>
      <c r="S109" s="97">
        <v>0</v>
      </c>
      <c r="T109" s="97">
        <v>0</v>
      </c>
      <c r="U109" s="96"/>
      <c r="V109" s="97">
        <v>0</v>
      </c>
      <c r="W109" s="97">
        <v>0</v>
      </c>
      <c r="X109" s="96"/>
      <c r="Y109" s="97">
        <v>0</v>
      </c>
      <c r="Z109" s="97">
        <v>0</v>
      </c>
      <c r="AA109" s="96"/>
      <c r="AB109" s="97">
        <v>0</v>
      </c>
      <c r="AC109" s="97">
        <v>0</v>
      </c>
      <c r="AD109" s="96"/>
      <c r="AE109" s="97">
        <v>0</v>
      </c>
      <c r="AF109" s="96"/>
      <c r="AG109" s="96"/>
      <c r="AH109" s="97">
        <v>0</v>
      </c>
      <c r="AI109" s="96"/>
      <c r="AJ109" s="96"/>
      <c r="AK109" s="97">
        <v>0</v>
      </c>
      <c r="AL109" s="97">
        <v>0</v>
      </c>
      <c r="AM109" s="97">
        <v>0</v>
      </c>
      <c r="AN109" s="97">
        <v>0</v>
      </c>
    </row>
    <row r="110" spans="1:40" x14ac:dyDescent="0.25">
      <c r="A110" s="95" t="s">
        <v>230</v>
      </c>
      <c r="B110" s="98">
        <v>0</v>
      </c>
      <c r="C110" s="98">
        <v>0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  <c r="R110" s="98">
        <v>0</v>
      </c>
      <c r="S110" s="98">
        <v>0</v>
      </c>
      <c r="T110" s="98">
        <v>0</v>
      </c>
      <c r="U110" s="98">
        <v>0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  <c r="AC110" s="98">
        <v>0</v>
      </c>
      <c r="AD110" s="98">
        <v>0</v>
      </c>
      <c r="AE110" s="98">
        <v>0</v>
      </c>
      <c r="AF110" s="98">
        <v>0</v>
      </c>
      <c r="AG110" s="98">
        <v>0</v>
      </c>
      <c r="AH110" s="98">
        <v>0</v>
      </c>
      <c r="AI110" s="98">
        <v>0</v>
      </c>
      <c r="AJ110" s="98">
        <v>0</v>
      </c>
      <c r="AK110" s="98">
        <v>0</v>
      </c>
      <c r="AL110" s="98">
        <v>0</v>
      </c>
      <c r="AM110" s="98">
        <v>0</v>
      </c>
      <c r="AN110" s="98">
        <v>0</v>
      </c>
    </row>
    <row r="111" spans="1:40" x14ac:dyDescent="0.25">
      <c r="A111" s="95" t="s">
        <v>231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</row>
    <row r="112" spans="1:40" x14ac:dyDescent="0.25">
      <c r="A112" s="95" t="s">
        <v>232</v>
      </c>
      <c r="B112" s="96"/>
      <c r="C112" s="96"/>
      <c r="D112" s="97">
        <v>0</v>
      </c>
      <c r="E112" s="96"/>
      <c r="F112" s="96"/>
      <c r="G112" s="97">
        <v>0</v>
      </c>
      <c r="H112" s="96"/>
      <c r="I112" s="96"/>
      <c r="J112" s="97">
        <v>0</v>
      </c>
      <c r="K112" s="96"/>
      <c r="L112" s="96"/>
      <c r="M112" s="97">
        <v>0</v>
      </c>
      <c r="N112" s="96"/>
      <c r="O112" s="96"/>
      <c r="P112" s="97">
        <v>0</v>
      </c>
      <c r="Q112" s="96"/>
      <c r="R112" s="96"/>
      <c r="S112" s="97">
        <v>0</v>
      </c>
      <c r="T112" s="96"/>
      <c r="U112" s="96"/>
      <c r="V112" s="97">
        <v>0</v>
      </c>
      <c r="W112" s="96"/>
      <c r="X112" s="96"/>
      <c r="Y112" s="97">
        <v>0</v>
      </c>
      <c r="Z112" s="96"/>
      <c r="AA112" s="96"/>
      <c r="AB112" s="97">
        <v>0</v>
      </c>
      <c r="AC112" s="96"/>
      <c r="AD112" s="96"/>
      <c r="AE112" s="97">
        <v>0</v>
      </c>
      <c r="AF112" s="96"/>
      <c r="AG112" s="96"/>
      <c r="AH112" s="97">
        <v>0</v>
      </c>
      <c r="AI112" s="96"/>
      <c r="AJ112" s="96"/>
      <c r="AK112" s="97">
        <v>0</v>
      </c>
      <c r="AL112" s="97">
        <v>0</v>
      </c>
      <c r="AM112" s="97">
        <v>0</v>
      </c>
      <c r="AN112" s="97">
        <v>0</v>
      </c>
    </row>
    <row r="113" spans="1:40" x14ac:dyDescent="0.25">
      <c r="A113" s="95" t="s">
        <v>233</v>
      </c>
      <c r="B113" s="97">
        <v>0</v>
      </c>
      <c r="C113" s="96"/>
      <c r="D113" s="97">
        <v>0</v>
      </c>
      <c r="E113" s="97">
        <v>0</v>
      </c>
      <c r="F113" s="96"/>
      <c r="G113" s="97">
        <v>0</v>
      </c>
      <c r="H113" s="97">
        <v>0</v>
      </c>
      <c r="I113" s="96"/>
      <c r="J113" s="97">
        <v>0</v>
      </c>
      <c r="K113" s="97">
        <v>0</v>
      </c>
      <c r="L113" s="96"/>
      <c r="M113" s="97">
        <v>0</v>
      </c>
      <c r="N113" s="96"/>
      <c r="O113" s="96"/>
      <c r="P113" s="97">
        <v>0</v>
      </c>
      <c r="Q113" s="97">
        <v>0</v>
      </c>
      <c r="R113" s="96"/>
      <c r="S113" s="97">
        <v>0</v>
      </c>
      <c r="T113" s="97">
        <v>0</v>
      </c>
      <c r="U113" s="96"/>
      <c r="V113" s="97">
        <v>0</v>
      </c>
      <c r="W113" s="97">
        <v>0</v>
      </c>
      <c r="X113" s="96"/>
      <c r="Y113" s="97">
        <v>0</v>
      </c>
      <c r="Z113" s="96"/>
      <c r="AA113" s="96"/>
      <c r="AB113" s="97">
        <v>0</v>
      </c>
      <c r="AC113" s="96"/>
      <c r="AD113" s="96"/>
      <c r="AE113" s="97">
        <v>0</v>
      </c>
      <c r="AF113" s="96"/>
      <c r="AG113" s="96"/>
      <c r="AH113" s="97">
        <v>0</v>
      </c>
      <c r="AI113" s="96"/>
      <c r="AJ113" s="96"/>
      <c r="AK113" s="97">
        <v>0</v>
      </c>
      <c r="AL113" s="97">
        <v>0</v>
      </c>
      <c r="AM113" s="97">
        <v>0</v>
      </c>
      <c r="AN113" s="97">
        <v>0</v>
      </c>
    </row>
    <row r="114" spans="1:40" x14ac:dyDescent="0.25">
      <c r="A114" s="95" t="s">
        <v>234</v>
      </c>
      <c r="B114" s="96"/>
      <c r="C114" s="96"/>
      <c r="D114" s="97">
        <v>0</v>
      </c>
      <c r="E114" s="96"/>
      <c r="F114" s="96"/>
      <c r="G114" s="97">
        <v>0</v>
      </c>
      <c r="H114" s="97">
        <v>0</v>
      </c>
      <c r="I114" s="96"/>
      <c r="J114" s="97">
        <v>0</v>
      </c>
      <c r="K114" s="96"/>
      <c r="L114" s="96"/>
      <c r="M114" s="97">
        <v>0</v>
      </c>
      <c r="N114" s="96"/>
      <c r="O114" s="96"/>
      <c r="P114" s="97">
        <v>0</v>
      </c>
      <c r="Q114" s="96"/>
      <c r="R114" s="96"/>
      <c r="S114" s="97">
        <v>0</v>
      </c>
      <c r="T114" s="96"/>
      <c r="U114" s="96"/>
      <c r="V114" s="97">
        <v>0</v>
      </c>
      <c r="W114" s="96"/>
      <c r="X114" s="96"/>
      <c r="Y114" s="97">
        <v>0</v>
      </c>
      <c r="Z114" s="96"/>
      <c r="AA114" s="96"/>
      <c r="AB114" s="97">
        <v>0</v>
      </c>
      <c r="AC114" s="96"/>
      <c r="AD114" s="96"/>
      <c r="AE114" s="97">
        <v>0</v>
      </c>
      <c r="AF114" s="96"/>
      <c r="AG114" s="96"/>
      <c r="AH114" s="97">
        <v>0</v>
      </c>
      <c r="AI114" s="96"/>
      <c r="AJ114" s="96"/>
      <c r="AK114" s="97">
        <v>0</v>
      </c>
      <c r="AL114" s="97">
        <v>0</v>
      </c>
      <c r="AM114" s="97">
        <v>0</v>
      </c>
      <c r="AN114" s="97">
        <v>0</v>
      </c>
    </row>
    <row r="115" spans="1:40" x14ac:dyDescent="0.25">
      <c r="A115" s="95" t="s">
        <v>235</v>
      </c>
      <c r="B115" s="96"/>
      <c r="C115" s="96"/>
      <c r="D115" s="97">
        <v>0</v>
      </c>
      <c r="E115" s="97">
        <v>0</v>
      </c>
      <c r="F115" s="96"/>
      <c r="G115" s="97">
        <v>0</v>
      </c>
      <c r="H115" s="97">
        <v>0</v>
      </c>
      <c r="I115" s="96"/>
      <c r="J115" s="97">
        <v>0</v>
      </c>
      <c r="K115" s="97">
        <v>0</v>
      </c>
      <c r="L115" s="96"/>
      <c r="M115" s="97">
        <v>0</v>
      </c>
      <c r="N115" s="97">
        <v>0</v>
      </c>
      <c r="O115" s="96"/>
      <c r="P115" s="97">
        <v>0</v>
      </c>
      <c r="Q115" s="97">
        <v>0</v>
      </c>
      <c r="R115" s="96"/>
      <c r="S115" s="97">
        <v>0</v>
      </c>
      <c r="T115" s="97">
        <v>0</v>
      </c>
      <c r="U115" s="96"/>
      <c r="V115" s="97">
        <v>0</v>
      </c>
      <c r="W115" s="97">
        <v>0</v>
      </c>
      <c r="X115" s="96"/>
      <c r="Y115" s="97">
        <v>0</v>
      </c>
      <c r="Z115" s="97">
        <v>0</v>
      </c>
      <c r="AA115" s="96"/>
      <c r="AB115" s="97">
        <v>0</v>
      </c>
      <c r="AC115" s="97">
        <v>0</v>
      </c>
      <c r="AD115" s="96"/>
      <c r="AE115" s="97">
        <v>0</v>
      </c>
      <c r="AF115" s="97">
        <v>0</v>
      </c>
      <c r="AG115" s="96"/>
      <c r="AH115" s="97">
        <v>0</v>
      </c>
      <c r="AI115" s="96"/>
      <c r="AJ115" s="96"/>
      <c r="AK115" s="97">
        <v>0</v>
      </c>
      <c r="AL115" s="97">
        <v>0</v>
      </c>
      <c r="AM115" s="97">
        <v>0</v>
      </c>
      <c r="AN115" s="97">
        <v>0</v>
      </c>
    </row>
    <row r="116" spans="1:40" x14ac:dyDescent="0.25">
      <c r="A116" s="95" t="s">
        <v>236</v>
      </c>
      <c r="B116" s="96"/>
      <c r="C116" s="96"/>
      <c r="D116" s="97">
        <v>0</v>
      </c>
      <c r="E116" s="97">
        <v>0</v>
      </c>
      <c r="F116" s="96"/>
      <c r="G116" s="97">
        <v>0</v>
      </c>
      <c r="H116" s="96"/>
      <c r="I116" s="96"/>
      <c r="J116" s="97">
        <v>0</v>
      </c>
      <c r="K116" s="96"/>
      <c r="L116" s="96"/>
      <c r="M116" s="97">
        <v>0</v>
      </c>
      <c r="N116" s="97">
        <v>0</v>
      </c>
      <c r="O116" s="96"/>
      <c r="P116" s="97">
        <v>0</v>
      </c>
      <c r="Q116" s="96"/>
      <c r="R116" s="96"/>
      <c r="S116" s="97">
        <v>0</v>
      </c>
      <c r="T116" s="96"/>
      <c r="U116" s="96"/>
      <c r="V116" s="97">
        <v>0</v>
      </c>
      <c r="W116" s="96"/>
      <c r="X116" s="96"/>
      <c r="Y116" s="97">
        <v>0</v>
      </c>
      <c r="Z116" s="96"/>
      <c r="AA116" s="96"/>
      <c r="AB116" s="97">
        <v>0</v>
      </c>
      <c r="AC116" s="96"/>
      <c r="AD116" s="96"/>
      <c r="AE116" s="97">
        <v>0</v>
      </c>
      <c r="AF116" s="96"/>
      <c r="AG116" s="96"/>
      <c r="AH116" s="97">
        <v>0</v>
      </c>
      <c r="AI116" s="96"/>
      <c r="AJ116" s="96"/>
      <c r="AK116" s="97">
        <v>0</v>
      </c>
      <c r="AL116" s="97">
        <v>0</v>
      </c>
      <c r="AM116" s="97">
        <v>0</v>
      </c>
      <c r="AN116" s="97">
        <v>0</v>
      </c>
    </row>
    <row r="117" spans="1:40" x14ac:dyDescent="0.25">
      <c r="A117" s="95" t="s">
        <v>237</v>
      </c>
      <c r="B117" s="96"/>
      <c r="C117" s="96"/>
      <c r="D117" s="97">
        <v>0</v>
      </c>
      <c r="E117" s="96"/>
      <c r="F117" s="96"/>
      <c r="G117" s="97">
        <v>0</v>
      </c>
      <c r="H117" s="97">
        <v>0</v>
      </c>
      <c r="I117" s="96"/>
      <c r="J117" s="97">
        <v>0</v>
      </c>
      <c r="K117" s="97">
        <v>0</v>
      </c>
      <c r="L117" s="96"/>
      <c r="M117" s="97">
        <v>0</v>
      </c>
      <c r="N117" s="97">
        <v>0</v>
      </c>
      <c r="O117" s="96"/>
      <c r="P117" s="97">
        <v>0</v>
      </c>
      <c r="Q117" s="96"/>
      <c r="R117" s="96"/>
      <c r="S117" s="97">
        <v>0</v>
      </c>
      <c r="T117" s="96"/>
      <c r="U117" s="96"/>
      <c r="V117" s="97">
        <v>0</v>
      </c>
      <c r="W117" s="96"/>
      <c r="X117" s="96"/>
      <c r="Y117" s="97">
        <v>0</v>
      </c>
      <c r="Z117" s="96"/>
      <c r="AA117" s="96"/>
      <c r="AB117" s="97">
        <v>0</v>
      </c>
      <c r="AC117" s="96"/>
      <c r="AD117" s="96"/>
      <c r="AE117" s="97">
        <v>0</v>
      </c>
      <c r="AF117" s="96"/>
      <c r="AG117" s="96"/>
      <c r="AH117" s="97">
        <v>0</v>
      </c>
      <c r="AI117" s="96"/>
      <c r="AJ117" s="96"/>
      <c r="AK117" s="97">
        <v>0</v>
      </c>
      <c r="AL117" s="97">
        <v>0</v>
      </c>
      <c r="AM117" s="97">
        <v>0</v>
      </c>
      <c r="AN117" s="97">
        <v>0</v>
      </c>
    </row>
    <row r="118" spans="1:40" x14ac:dyDescent="0.25">
      <c r="A118" s="95" t="s">
        <v>238</v>
      </c>
      <c r="B118" s="96"/>
      <c r="C118" s="96"/>
      <c r="D118" s="97">
        <v>0</v>
      </c>
      <c r="E118" s="97">
        <v>0</v>
      </c>
      <c r="F118" s="96"/>
      <c r="G118" s="97">
        <v>0</v>
      </c>
      <c r="H118" s="97">
        <v>0</v>
      </c>
      <c r="I118" s="96"/>
      <c r="J118" s="97">
        <v>0</v>
      </c>
      <c r="K118" s="97">
        <v>0</v>
      </c>
      <c r="L118" s="96"/>
      <c r="M118" s="97">
        <v>0</v>
      </c>
      <c r="N118" s="97">
        <v>0</v>
      </c>
      <c r="O118" s="96"/>
      <c r="P118" s="97">
        <v>0</v>
      </c>
      <c r="Q118" s="96"/>
      <c r="R118" s="96"/>
      <c r="S118" s="97">
        <v>0</v>
      </c>
      <c r="T118" s="97">
        <v>0</v>
      </c>
      <c r="U118" s="96"/>
      <c r="V118" s="97">
        <v>0</v>
      </c>
      <c r="W118" s="97">
        <v>0</v>
      </c>
      <c r="X118" s="96"/>
      <c r="Y118" s="97">
        <v>0</v>
      </c>
      <c r="Z118" s="97">
        <v>0</v>
      </c>
      <c r="AA118" s="96"/>
      <c r="AB118" s="97">
        <v>0</v>
      </c>
      <c r="AC118" s="96"/>
      <c r="AD118" s="96"/>
      <c r="AE118" s="97">
        <v>0</v>
      </c>
      <c r="AF118" s="96"/>
      <c r="AG118" s="96"/>
      <c r="AH118" s="97">
        <v>0</v>
      </c>
      <c r="AI118" s="96"/>
      <c r="AJ118" s="96"/>
      <c r="AK118" s="97">
        <v>0</v>
      </c>
      <c r="AL118" s="97">
        <v>0</v>
      </c>
      <c r="AM118" s="97">
        <v>0</v>
      </c>
      <c r="AN118" s="97">
        <v>0</v>
      </c>
    </row>
    <row r="119" spans="1:40" x14ac:dyDescent="0.25">
      <c r="A119" s="95" t="s">
        <v>239</v>
      </c>
      <c r="B119" s="96"/>
      <c r="C119" s="96"/>
      <c r="D119" s="97">
        <v>0</v>
      </c>
      <c r="E119" s="96"/>
      <c r="F119" s="96"/>
      <c r="G119" s="97">
        <v>0</v>
      </c>
      <c r="H119" s="96"/>
      <c r="I119" s="96"/>
      <c r="J119" s="97">
        <v>0</v>
      </c>
      <c r="K119" s="97">
        <v>0</v>
      </c>
      <c r="L119" s="96"/>
      <c r="M119" s="97">
        <v>0</v>
      </c>
      <c r="N119" s="97">
        <v>0</v>
      </c>
      <c r="O119" s="96"/>
      <c r="P119" s="97">
        <v>0</v>
      </c>
      <c r="Q119" s="97">
        <v>0</v>
      </c>
      <c r="R119" s="96"/>
      <c r="S119" s="97">
        <v>0</v>
      </c>
      <c r="T119" s="96"/>
      <c r="U119" s="96"/>
      <c r="V119" s="97">
        <v>0</v>
      </c>
      <c r="W119" s="96"/>
      <c r="X119" s="96"/>
      <c r="Y119" s="97">
        <v>0</v>
      </c>
      <c r="Z119" s="97">
        <v>0</v>
      </c>
      <c r="AA119" s="96"/>
      <c r="AB119" s="97">
        <v>0</v>
      </c>
      <c r="AC119" s="96"/>
      <c r="AD119" s="96"/>
      <c r="AE119" s="97">
        <v>0</v>
      </c>
      <c r="AF119" s="96"/>
      <c r="AG119" s="96"/>
      <c r="AH119" s="97">
        <v>0</v>
      </c>
      <c r="AI119" s="96"/>
      <c r="AJ119" s="96"/>
      <c r="AK119" s="97">
        <v>0</v>
      </c>
      <c r="AL119" s="97">
        <v>0</v>
      </c>
      <c r="AM119" s="97">
        <v>0</v>
      </c>
      <c r="AN119" s="97">
        <v>0</v>
      </c>
    </row>
    <row r="120" spans="1:40" x14ac:dyDescent="0.25">
      <c r="A120" s="95" t="s">
        <v>240</v>
      </c>
      <c r="B120" s="96"/>
      <c r="C120" s="96"/>
      <c r="D120" s="97">
        <v>0</v>
      </c>
      <c r="E120" s="96"/>
      <c r="F120" s="96"/>
      <c r="G120" s="97">
        <v>0</v>
      </c>
      <c r="H120" s="97">
        <v>0</v>
      </c>
      <c r="I120" s="96"/>
      <c r="J120" s="97">
        <v>0</v>
      </c>
      <c r="K120" s="97">
        <v>0</v>
      </c>
      <c r="L120" s="96"/>
      <c r="M120" s="97">
        <v>0</v>
      </c>
      <c r="N120" s="97">
        <v>0</v>
      </c>
      <c r="O120" s="96"/>
      <c r="P120" s="97">
        <v>0</v>
      </c>
      <c r="Q120" s="97">
        <v>0</v>
      </c>
      <c r="R120" s="96"/>
      <c r="S120" s="97">
        <v>0</v>
      </c>
      <c r="T120" s="97">
        <v>0</v>
      </c>
      <c r="U120" s="96"/>
      <c r="V120" s="97">
        <v>0</v>
      </c>
      <c r="W120" s="97">
        <v>0</v>
      </c>
      <c r="X120" s="96"/>
      <c r="Y120" s="97">
        <v>0</v>
      </c>
      <c r="Z120" s="97">
        <v>0</v>
      </c>
      <c r="AA120" s="96"/>
      <c r="AB120" s="97">
        <v>0</v>
      </c>
      <c r="AC120" s="97">
        <v>0</v>
      </c>
      <c r="AD120" s="96"/>
      <c r="AE120" s="97">
        <v>0</v>
      </c>
      <c r="AF120" s="97">
        <v>0</v>
      </c>
      <c r="AG120" s="96"/>
      <c r="AH120" s="97">
        <v>0</v>
      </c>
      <c r="AI120" s="96"/>
      <c r="AJ120" s="96"/>
      <c r="AK120" s="97">
        <v>0</v>
      </c>
      <c r="AL120" s="97">
        <v>0</v>
      </c>
      <c r="AM120" s="97">
        <v>0</v>
      </c>
      <c r="AN120" s="97">
        <v>0</v>
      </c>
    </row>
    <row r="121" spans="1:40" x14ac:dyDescent="0.25">
      <c r="A121" s="95" t="s">
        <v>241</v>
      </c>
      <c r="B121" s="97">
        <v>0</v>
      </c>
      <c r="C121" s="96"/>
      <c r="D121" s="97">
        <v>0</v>
      </c>
      <c r="E121" s="97">
        <v>0</v>
      </c>
      <c r="F121" s="96"/>
      <c r="G121" s="97">
        <v>0</v>
      </c>
      <c r="H121" s="97">
        <v>0</v>
      </c>
      <c r="I121" s="96"/>
      <c r="J121" s="97">
        <v>0</v>
      </c>
      <c r="K121" s="97">
        <v>0</v>
      </c>
      <c r="L121" s="96"/>
      <c r="M121" s="97">
        <v>0</v>
      </c>
      <c r="N121" s="97">
        <v>0</v>
      </c>
      <c r="O121" s="96"/>
      <c r="P121" s="97">
        <v>0</v>
      </c>
      <c r="Q121" s="97">
        <v>0</v>
      </c>
      <c r="R121" s="96"/>
      <c r="S121" s="97">
        <v>0</v>
      </c>
      <c r="T121" s="97">
        <v>0</v>
      </c>
      <c r="U121" s="96"/>
      <c r="V121" s="97">
        <v>0</v>
      </c>
      <c r="W121" s="96"/>
      <c r="X121" s="96"/>
      <c r="Y121" s="97">
        <v>0</v>
      </c>
      <c r="Z121" s="97">
        <v>0</v>
      </c>
      <c r="AA121" s="96"/>
      <c r="AB121" s="97">
        <v>0</v>
      </c>
      <c r="AC121" s="97">
        <v>0</v>
      </c>
      <c r="AD121" s="96"/>
      <c r="AE121" s="97">
        <v>0</v>
      </c>
      <c r="AF121" s="96"/>
      <c r="AG121" s="96"/>
      <c r="AH121" s="97">
        <v>0</v>
      </c>
      <c r="AI121" s="96"/>
      <c r="AJ121" s="96"/>
      <c r="AK121" s="97">
        <v>0</v>
      </c>
      <c r="AL121" s="97">
        <v>0</v>
      </c>
      <c r="AM121" s="97">
        <v>0</v>
      </c>
      <c r="AN121" s="97">
        <v>0</v>
      </c>
    </row>
    <row r="122" spans="1:40" x14ac:dyDescent="0.25">
      <c r="A122" s="95" t="s">
        <v>242</v>
      </c>
      <c r="B122" s="98">
        <v>0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0</v>
      </c>
      <c r="R122" s="98">
        <v>0</v>
      </c>
      <c r="S122" s="98">
        <v>0</v>
      </c>
      <c r="T122" s="98">
        <v>0</v>
      </c>
      <c r="U122" s="98">
        <v>0</v>
      </c>
      <c r="V122" s="98">
        <v>0</v>
      </c>
      <c r="W122" s="98">
        <v>0</v>
      </c>
      <c r="X122" s="98">
        <v>0</v>
      </c>
      <c r="Y122" s="98">
        <v>0</v>
      </c>
      <c r="Z122" s="98">
        <v>0</v>
      </c>
      <c r="AA122" s="98">
        <v>0</v>
      </c>
      <c r="AB122" s="98">
        <v>0</v>
      </c>
      <c r="AC122" s="98">
        <v>0</v>
      </c>
      <c r="AD122" s="98">
        <v>0</v>
      </c>
      <c r="AE122" s="98">
        <v>0</v>
      </c>
      <c r="AF122" s="98">
        <v>0</v>
      </c>
      <c r="AG122" s="98">
        <v>0</v>
      </c>
      <c r="AH122" s="98">
        <v>0</v>
      </c>
      <c r="AI122" s="98">
        <v>0</v>
      </c>
      <c r="AJ122" s="98">
        <v>0</v>
      </c>
      <c r="AK122" s="98">
        <v>0</v>
      </c>
      <c r="AL122" s="98">
        <v>0</v>
      </c>
      <c r="AM122" s="98">
        <v>0</v>
      </c>
      <c r="AN122" s="98">
        <v>0</v>
      </c>
    </row>
    <row r="123" spans="1:40" x14ac:dyDescent="0.25">
      <c r="A123" s="95" t="s">
        <v>243</v>
      </c>
      <c r="B123" s="98">
        <v>0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98">
        <v>0</v>
      </c>
      <c r="U123" s="98">
        <v>0</v>
      </c>
      <c r="V123" s="98">
        <v>0</v>
      </c>
      <c r="W123" s="98">
        <v>0</v>
      </c>
      <c r="X123" s="98">
        <v>0</v>
      </c>
      <c r="Y123" s="98">
        <v>0</v>
      </c>
      <c r="Z123" s="98">
        <v>0</v>
      </c>
      <c r="AA123" s="98">
        <v>0</v>
      </c>
      <c r="AB123" s="98">
        <v>0</v>
      </c>
      <c r="AC123" s="98">
        <v>0</v>
      </c>
      <c r="AD123" s="98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8">
        <v>0</v>
      </c>
      <c r="AL123" s="98">
        <v>0</v>
      </c>
      <c r="AM123" s="98">
        <v>0</v>
      </c>
      <c r="AN123" s="98">
        <v>0</v>
      </c>
    </row>
    <row r="124" spans="1:40" x14ac:dyDescent="0.25">
      <c r="A124" s="95" t="s">
        <v>244</v>
      </c>
      <c r="B124" s="98">
        <v>0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>
        <v>0</v>
      </c>
      <c r="V124" s="98">
        <v>0</v>
      </c>
      <c r="W124" s="98">
        <v>0</v>
      </c>
      <c r="X124" s="98">
        <v>0</v>
      </c>
      <c r="Y124" s="98">
        <v>0</v>
      </c>
      <c r="Z124" s="98">
        <v>0</v>
      </c>
      <c r="AA124" s="98">
        <v>0</v>
      </c>
      <c r="AB124" s="98">
        <v>0</v>
      </c>
      <c r="AC124" s="98">
        <v>0</v>
      </c>
      <c r="AD124" s="98">
        <v>0</v>
      </c>
      <c r="AE124" s="98">
        <v>0</v>
      </c>
      <c r="AF124" s="98">
        <v>0</v>
      </c>
      <c r="AG124" s="98">
        <v>0</v>
      </c>
      <c r="AH124" s="98">
        <v>0</v>
      </c>
      <c r="AI124" s="98">
        <v>0</v>
      </c>
      <c r="AJ124" s="98">
        <v>0</v>
      </c>
      <c r="AK124" s="98">
        <v>0</v>
      </c>
      <c r="AL124" s="98">
        <v>0</v>
      </c>
      <c r="AM124" s="98">
        <v>0</v>
      </c>
      <c r="AN124" s="98">
        <v>0</v>
      </c>
    </row>
    <row r="125" spans="1:40" x14ac:dyDescent="0.25">
      <c r="A125" s="95" t="s">
        <v>245</v>
      </c>
      <c r="B125" s="98">
        <v>0</v>
      </c>
      <c r="C125" s="98">
        <v>0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8">
        <v>0</v>
      </c>
      <c r="AE125" s="98">
        <v>0</v>
      </c>
      <c r="AF125" s="98">
        <v>0</v>
      </c>
      <c r="AG125" s="98">
        <v>0</v>
      </c>
      <c r="AH125" s="98">
        <v>0</v>
      </c>
      <c r="AI125" s="98">
        <v>0</v>
      </c>
      <c r="AJ125" s="98">
        <v>0</v>
      </c>
      <c r="AK125" s="98">
        <v>0</v>
      </c>
      <c r="AL125" s="98">
        <v>0</v>
      </c>
      <c r="AM125" s="98">
        <v>0</v>
      </c>
      <c r="AN125" s="98">
        <v>0</v>
      </c>
    </row>
    <row r="126" spans="1:40" x14ac:dyDescent="0.25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</row>
    <row r="127" spans="1:40" x14ac:dyDescent="0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</row>
    <row r="128" spans="1:40" x14ac:dyDescent="0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</row>
    <row r="129" spans="1:40" x14ac:dyDescent="0.25">
      <c r="A129" s="103" t="s">
        <v>315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</row>
  </sheetData>
  <mergeCells count="17">
    <mergeCell ref="AI5:AK5"/>
    <mergeCell ref="AL5:AN5"/>
    <mergeCell ref="A129:AN129"/>
    <mergeCell ref="A1:AN1"/>
    <mergeCell ref="A2:AN2"/>
    <mergeCell ref="A3:AN3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N5:P5"/>
    <mergeCell ref="AF5:AH5"/>
  </mergeCells>
  <pageMargins left="0.45" right="0.45" top="0.5" bottom="0.5" header="0.3" footer="0.3"/>
  <pageSetup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D9BA-5D00-4BB4-82AA-EFA53A29B34F}">
  <sheetPr>
    <pageSetUpPr fitToPage="1"/>
  </sheetPr>
  <dimension ref="A1:AK8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36.42578125" style="82" customWidth="1"/>
    <col min="2" max="2" width="13.28515625" style="82" customWidth="1"/>
    <col min="3" max="3" width="9.42578125" style="82" customWidth="1"/>
    <col min="4" max="4" width="34.5703125" style="83" customWidth="1"/>
    <col min="5" max="5" width="12.5703125" style="82" customWidth="1"/>
    <col min="6" max="6" width="9.140625" style="82"/>
    <col min="7" max="7" width="11.42578125" style="82" customWidth="1"/>
    <col min="8" max="8" width="11.140625" style="82" bestFit="1" customWidth="1"/>
    <col min="9" max="16384" width="9.140625" style="82"/>
  </cols>
  <sheetData>
    <row r="1" spans="1:37" ht="18" x14ac:dyDescent="0.25">
      <c r="A1" s="100" t="s">
        <v>124</v>
      </c>
      <c r="B1" s="100"/>
      <c r="C1" s="100"/>
      <c r="D1" s="100"/>
      <c r="E1" s="100"/>
    </row>
    <row r="2" spans="1:37" x14ac:dyDescent="0.25">
      <c r="A2" s="107" t="s">
        <v>123</v>
      </c>
      <c r="B2" s="107"/>
      <c r="C2" s="107"/>
      <c r="D2" s="107"/>
      <c r="E2" s="107"/>
    </row>
    <row r="4" spans="1:37" x14ac:dyDescent="0.25">
      <c r="A4" s="108"/>
      <c r="B4" s="108"/>
      <c r="C4" s="108"/>
      <c r="D4" s="108"/>
      <c r="E4" s="10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t="15.75" thickBot="1" x14ac:dyDescent="0.3">
      <c r="A5" s="32" t="s">
        <v>18</v>
      </c>
      <c r="B5" s="33"/>
      <c r="C5" s="34" t="s">
        <v>85</v>
      </c>
      <c r="D5" s="1"/>
      <c r="E5" s="35"/>
      <c r="G5" s="2"/>
    </row>
    <row r="6" spans="1:37" x14ac:dyDescent="0.25">
      <c r="A6" s="36" t="s">
        <v>19</v>
      </c>
      <c r="B6" s="57">
        <v>141267.48000000001</v>
      </c>
      <c r="C6" s="82" t="s">
        <v>311</v>
      </c>
      <c r="H6" s="57"/>
    </row>
    <row r="7" spans="1:37" ht="15.75" thickBot="1" x14ac:dyDescent="0.3">
      <c r="A7" s="37" t="s">
        <v>20</v>
      </c>
      <c r="B7" s="67">
        <f>108786.12+1.08</f>
        <v>108787.2</v>
      </c>
      <c r="C7" s="23" t="s">
        <v>312</v>
      </c>
      <c r="D7" s="3"/>
      <c r="E7" s="23"/>
      <c r="G7" s="2"/>
    </row>
    <row r="8" spans="1:37" ht="15.75" thickTop="1" x14ac:dyDescent="0.25">
      <c r="A8" s="38" t="s">
        <v>0</v>
      </c>
      <c r="B8" s="2">
        <f>B7-B6</f>
        <v>-32480.280000000013</v>
      </c>
    </row>
    <row r="10" spans="1:37" ht="15.75" thickBot="1" x14ac:dyDescent="0.3">
      <c r="A10" s="32" t="s">
        <v>21</v>
      </c>
      <c r="B10" s="35"/>
      <c r="C10" s="35"/>
      <c r="D10" s="1"/>
      <c r="E10" s="35"/>
    </row>
    <row r="11" spans="1:37" x14ac:dyDescent="0.25">
      <c r="A11" s="4" t="s">
        <v>22</v>
      </c>
      <c r="B11" s="4" t="s">
        <v>23</v>
      </c>
      <c r="C11" s="4" t="s">
        <v>24</v>
      </c>
      <c r="D11" s="5" t="s">
        <v>25</v>
      </c>
      <c r="E11" s="6" t="s">
        <v>26</v>
      </c>
    </row>
    <row r="12" spans="1:37" x14ac:dyDescent="0.25">
      <c r="A12" s="88" t="s">
        <v>86</v>
      </c>
      <c r="B12" s="88" t="s">
        <v>39</v>
      </c>
      <c r="C12" s="88">
        <v>8709</v>
      </c>
      <c r="D12" s="88" t="s">
        <v>87</v>
      </c>
      <c r="E12" s="87">
        <v>-100</v>
      </c>
    </row>
    <row r="13" spans="1:37" x14ac:dyDescent="0.25">
      <c r="A13" s="88" t="s">
        <v>88</v>
      </c>
      <c r="B13" s="88" t="s">
        <v>39</v>
      </c>
      <c r="C13" s="88">
        <v>8777</v>
      </c>
      <c r="D13" s="88" t="s">
        <v>89</v>
      </c>
      <c r="E13" s="87">
        <v>-36.840000000000003</v>
      </c>
    </row>
    <row r="14" spans="1:37" x14ac:dyDescent="0.25">
      <c r="A14" s="88" t="s">
        <v>90</v>
      </c>
      <c r="B14" s="88" t="s">
        <v>39</v>
      </c>
      <c r="C14" s="88">
        <v>9009</v>
      </c>
      <c r="D14" s="88" t="s">
        <v>91</v>
      </c>
      <c r="E14" s="87">
        <v>-60</v>
      </c>
    </row>
    <row r="15" spans="1:37" x14ac:dyDescent="0.25">
      <c r="A15" s="88" t="s">
        <v>92</v>
      </c>
      <c r="B15" s="88" t="s">
        <v>39</v>
      </c>
      <c r="C15" s="88">
        <v>9154</v>
      </c>
      <c r="D15" s="88" t="s">
        <v>95</v>
      </c>
      <c r="E15" s="87">
        <v>-13</v>
      </c>
    </row>
    <row r="16" spans="1:37" x14ac:dyDescent="0.25">
      <c r="A16" s="88" t="s">
        <v>92</v>
      </c>
      <c r="B16" s="88" t="s">
        <v>39</v>
      </c>
      <c r="C16" s="88">
        <v>9151</v>
      </c>
      <c r="D16" s="88" t="s">
        <v>93</v>
      </c>
      <c r="E16" s="87">
        <v>-13</v>
      </c>
    </row>
    <row r="17" spans="1:5" x14ac:dyDescent="0.25">
      <c r="A17" s="88" t="s">
        <v>92</v>
      </c>
      <c r="B17" s="88" t="s">
        <v>39</v>
      </c>
      <c r="C17" s="88">
        <v>9152</v>
      </c>
      <c r="D17" s="88" t="s">
        <v>94</v>
      </c>
      <c r="E17" s="87">
        <v>-13</v>
      </c>
    </row>
    <row r="18" spans="1:5" x14ac:dyDescent="0.25">
      <c r="A18" s="88" t="s">
        <v>96</v>
      </c>
      <c r="B18" s="88" t="s">
        <v>39</v>
      </c>
      <c r="C18" s="88">
        <v>9217</v>
      </c>
      <c r="D18" s="88" t="s">
        <v>97</v>
      </c>
      <c r="E18" s="87">
        <v>-300</v>
      </c>
    </row>
    <row r="19" spans="1:5" ht="23.25" x14ac:dyDescent="0.25">
      <c r="A19" s="88" t="s">
        <v>98</v>
      </c>
      <c r="B19" s="88" t="s">
        <v>39</v>
      </c>
      <c r="C19" s="88">
        <v>9381</v>
      </c>
      <c r="D19" s="88" t="s">
        <v>99</v>
      </c>
      <c r="E19" s="87">
        <v>-29.75</v>
      </c>
    </row>
    <row r="20" spans="1:5" x14ac:dyDescent="0.25">
      <c r="A20" s="88" t="s">
        <v>100</v>
      </c>
      <c r="B20" s="88" t="s">
        <v>39</v>
      </c>
      <c r="C20" s="88">
        <v>9528</v>
      </c>
      <c r="D20" s="88" t="s">
        <v>101</v>
      </c>
      <c r="E20" s="87">
        <v>-750</v>
      </c>
    </row>
    <row r="21" spans="1:5" x14ac:dyDescent="0.25">
      <c r="A21" s="88" t="s">
        <v>102</v>
      </c>
      <c r="B21" s="88" t="s">
        <v>39</v>
      </c>
      <c r="C21" s="88">
        <v>9531</v>
      </c>
      <c r="D21" s="88" t="s">
        <v>103</v>
      </c>
      <c r="E21" s="87">
        <v>-25</v>
      </c>
    </row>
    <row r="22" spans="1:5" x14ac:dyDescent="0.25">
      <c r="A22" s="88" t="s">
        <v>102</v>
      </c>
      <c r="B22" s="88" t="s">
        <v>39</v>
      </c>
      <c r="C22" s="88">
        <v>9532</v>
      </c>
      <c r="D22" s="88" t="s">
        <v>104</v>
      </c>
      <c r="E22" s="87">
        <v>-25</v>
      </c>
    </row>
    <row r="23" spans="1:5" x14ac:dyDescent="0.25">
      <c r="A23" s="88" t="s">
        <v>105</v>
      </c>
      <c r="B23" s="88" t="s">
        <v>39</v>
      </c>
      <c r="C23" s="88">
        <v>9626</v>
      </c>
      <c r="D23" s="88" t="s">
        <v>106</v>
      </c>
      <c r="E23" s="87">
        <v>713.15</v>
      </c>
    </row>
    <row r="24" spans="1:5" x14ac:dyDescent="0.25">
      <c r="A24" s="88" t="s">
        <v>107</v>
      </c>
      <c r="B24" s="88" t="s">
        <v>39</v>
      </c>
      <c r="C24" s="88">
        <v>9633</v>
      </c>
      <c r="D24" s="88" t="s">
        <v>108</v>
      </c>
      <c r="E24" s="87">
        <v>-320.39999999999998</v>
      </c>
    </row>
    <row r="25" spans="1:5" x14ac:dyDescent="0.25">
      <c r="A25" s="88" t="s">
        <v>115</v>
      </c>
      <c r="B25" s="88" t="s">
        <v>39</v>
      </c>
      <c r="C25" s="88">
        <v>9684</v>
      </c>
      <c r="D25" s="88" t="s">
        <v>116</v>
      </c>
      <c r="E25" s="87">
        <v>-150</v>
      </c>
    </row>
    <row r="26" spans="1:5" x14ac:dyDescent="0.25">
      <c r="A26" s="88" t="s">
        <v>118</v>
      </c>
      <c r="B26" s="88" t="s">
        <v>39</v>
      </c>
      <c r="C26" s="88">
        <v>9734</v>
      </c>
      <c r="D26" s="88" t="s">
        <v>119</v>
      </c>
      <c r="E26" s="87">
        <v>-28</v>
      </c>
    </row>
    <row r="27" spans="1:5" x14ac:dyDescent="0.25">
      <c r="A27" s="88" t="s">
        <v>251</v>
      </c>
      <c r="B27" s="88" t="s">
        <v>39</v>
      </c>
      <c r="C27" s="88">
        <v>9883</v>
      </c>
      <c r="D27" s="88" t="s">
        <v>252</v>
      </c>
      <c r="E27" s="87">
        <v>-40.96</v>
      </c>
    </row>
    <row r="28" spans="1:5" s="12" customFormat="1" x14ac:dyDescent="0.25">
      <c r="A28" s="88" t="s">
        <v>258</v>
      </c>
      <c r="B28" s="88" t="s">
        <v>39</v>
      </c>
      <c r="C28" s="88">
        <v>9922</v>
      </c>
      <c r="D28" s="88" t="s">
        <v>256</v>
      </c>
      <c r="E28" s="87">
        <v>-250</v>
      </c>
    </row>
    <row r="29" spans="1:5" s="12" customFormat="1" x14ac:dyDescent="0.25">
      <c r="A29" s="88" t="s">
        <v>110</v>
      </c>
      <c r="B29" s="88" t="s">
        <v>39</v>
      </c>
      <c r="C29" s="88">
        <v>9949</v>
      </c>
      <c r="D29" s="88" t="s">
        <v>262</v>
      </c>
      <c r="E29" s="87">
        <v>-750</v>
      </c>
    </row>
    <row r="30" spans="1:5" s="12" customFormat="1" x14ac:dyDescent="0.25">
      <c r="A30" s="88" t="s">
        <v>266</v>
      </c>
      <c r="B30" s="88" t="s">
        <v>39</v>
      </c>
      <c r="C30" s="88">
        <v>9955</v>
      </c>
      <c r="D30" s="88" t="s">
        <v>257</v>
      </c>
      <c r="E30" s="87">
        <v>0</v>
      </c>
    </row>
    <row r="31" spans="1:5" s="12" customFormat="1" x14ac:dyDescent="0.25">
      <c r="A31" s="88" t="s">
        <v>282</v>
      </c>
      <c r="B31" s="88" t="s">
        <v>39</v>
      </c>
      <c r="C31" s="88">
        <v>9957</v>
      </c>
      <c r="D31" s="88" t="s">
        <v>285</v>
      </c>
      <c r="E31" s="87">
        <v>-67.84</v>
      </c>
    </row>
    <row r="32" spans="1:5" x14ac:dyDescent="0.25">
      <c r="A32" s="88" t="s">
        <v>283</v>
      </c>
      <c r="B32" s="88" t="s">
        <v>39</v>
      </c>
      <c r="C32" s="88">
        <v>9967</v>
      </c>
      <c r="D32" s="88" t="s">
        <v>263</v>
      </c>
      <c r="E32" s="87">
        <v>-650</v>
      </c>
    </row>
    <row r="33" spans="1:5" x14ac:dyDescent="0.25">
      <c r="A33" s="88" t="s">
        <v>295</v>
      </c>
      <c r="B33" s="88" t="s">
        <v>39</v>
      </c>
      <c r="C33" s="88">
        <v>9990</v>
      </c>
      <c r="D33" s="88" t="s">
        <v>296</v>
      </c>
      <c r="E33" s="87">
        <v>-60.21</v>
      </c>
    </row>
    <row r="34" spans="1:5" x14ac:dyDescent="0.25">
      <c r="A34" s="88" t="s">
        <v>297</v>
      </c>
      <c r="B34" s="88" t="s">
        <v>39</v>
      </c>
      <c r="C34" s="88">
        <v>9994</v>
      </c>
      <c r="D34" s="88" t="s">
        <v>287</v>
      </c>
      <c r="E34" s="87">
        <v>-2230.13</v>
      </c>
    </row>
    <row r="35" spans="1:5" x14ac:dyDescent="0.25">
      <c r="A35" s="88" t="s">
        <v>298</v>
      </c>
      <c r="B35" s="88" t="s">
        <v>39</v>
      </c>
      <c r="C35" s="88">
        <v>10001</v>
      </c>
      <c r="D35" s="88" t="s">
        <v>106</v>
      </c>
      <c r="E35" s="87">
        <v>-1396.95</v>
      </c>
    </row>
    <row r="36" spans="1:5" s="85" customFormat="1" x14ac:dyDescent="0.25">
      <c r="A36" s="88" t="s">
        <v>299</v>
      </c>
      <c r="B36" s="88" t="s">
        <v>39</v>
      </c>
      <c r="C36" s="88">
        <v>10003</v>
      </c>
      <c r="D36" s="88" t="s">
        <v>300</v>
      </c>
      <c r="E36" s="87">
        <v>-250</v>
      </c>
    </row>
    <row r="37" spans="1:5" s="85" customFormat="1" x14ac:dyDescent="0.25">
      <c r="A37" s="88" t="s">
        <v>299</v>
      </c>
      <c r="B37" s="88" t="s">
        <v>39</v>
      </c>
      <c r="C37" s="88">
        <v>10002</v>
      </c>
      <c r="D37" s="88" t="s">
        <v>301</v>
      </c>
      <c r="E37" s="87">
        <v>-977.61</v>
      </c>
    </row>
    <row r="38" spans="1:5" s="85" customFormat="1" x14ac:dyDescent="0.25">
      <c r="A38" s="88" t="s">
        <v>302</v>
      </c>
      <c r="B38" s="88" t="s">
        <v>39</v>
      </c>
      <c r="C38" s="88">
        <v>10004</v>
      </c>
      <c r="D38" s="88" t="s">
        <v>287</v>
      </c>
      <c r="E38" s="87">
        <v>0</v>
      </c>
    </row>
    <row r="39" spans="1:5" s="85" customFormat="1" x14ac:dyDescent="0.25">
      <c r="A39" s="88" t="s">
        <v>302</v>
      </c>
      <c r="B39" s="88" t="s">
        <v>39</v>
      </c>
      <c r="C39" s="88">
        <v>10005</v>
      </c>
      <c r="D39" s="88" t="s">
        <v>303</v>
      </c>
      <c r="E39" s="87">
        <v>-243.04</v>
      </c>
    </row>
    <row r="40" spans="1:5" s="85" customFormat="1" x14ac:dyDescent="0.25">
      <c r="A40" s="88" t="s">
        <v>302</v>
      </c>
      <c r="B40" s="88" t="s">
        <v>39</v>
      </c>
      <c r="C40" s="88">
        <v>10011</v>
      </c>
      <c r="D40" s="88" t="s">
        <v>304</v>
      </c>
      <c r="E40" s="87">
        <v>-1247.6400000000001</v>
      </c>
    </row>
    <row r="41" spans="1:5" x14ac:dyDescent="0.25">
      <c r="A41" s="88" t="s">
        <v>302</v>
      </c>
      <c r="B41" s="88" t="s">
        <v>39</v>
      </c>
      <c r="C41" s="88">
        <v>10012</v>
      </c>
      <c r="D41" s="88" t="s">
        <v>305</v>
      </c>
      <c r="E41" s="87">
        <v>-308</v>
      </c>
    </row>
    <row r="42" spans="1:5" x14ac:dyDescent="0.25">
      <c r="A42" s="88" t="s">
        <v>302</v>
      </c>
      <c r="B42" s="88" t="s">
        <v>39</v>
      </c>
      <c r="C42" s="88">
        <v>10015</v>
      </c>
      <c r="D42" s="88" t="s">
        <v>287</v>
      </c>
      <c r="E42" s="87">
        <v>-2656.45</v>
      </c>
    </row>
    <row r="43" spans="1:5" x14ac:dyDescent="0.25">
      <c r="A43" s="88" t="s">
        <v>302</v>
      </c>
      <c r="B43" s="88" t="s">
        <v>39</v>
      </c>
      <c r="C43" s="88">
        <v>10016</v>
      </c>
      <c r="D43" s="88" t="s">
        <v>306</v>
      </c>
      <c r="E43" s="87">
        <v>-1063.9100000000001</v>
      </c>
    </row>
    <row r="44" spans="1:5" x14ac:dyDescent="0.25">
      <c r="A44" s="88" t="s">
        <v>302</v>
      </c>
      <c r="B44" s="88" t="s">
        <v>39</v>
      </c>
      <c r="C44" s="88">
        <v>10010</v>
      </c>
      <c r="D44" s="88" t="s">
        <v>304</v>
      </c>
      <c r="E44" s="87">
        <v>-500</v>
      </c>
    </row>
    <row r="45" spans="1:5" x14ac:dyDescent="0.25">
      <c r="A45" s="88" t="s">
        <v>302</v>
      </c>
      <c r="B45" s="88" t="s">
        <v>39</v>
      </c>
      <c r="C45" s="88">
        <v>10013</v>
      </c>
      <c r="D45" s="88" t="s">
        <v>307</v>
      </c>
      <c r="E45" s="87">
        <v>-286.7</v>
      </c>
    </row>
    <row r="46" spans="1:5" x14ac:dyDescent="0.25">
      <c r="A46" s="88" t="s">
        <v>302</v>
      </c>
      <c r="B46" s="88" t="s">
        <v>39</v>
      </c>
      <c r="C46" s="88">
        <v>10009</v>
      </c>
      <c r="D46" s="88" t="s">
        <v>308</v>
      </c>
      <c r="E46" s="87">
        <v>-150</v>
      </c>
    </row>
    <row r="47" spans="1:5" x14ac:dyDescent="0.25">
      <c r="A47" s="88" t="s">
        <v>302</v>
      </c>
      <c r="B47" s="88" t="s">
        <v>39</v>
      </c>
      <c r="C47" s="88">
        <v>10008</v>
      </c>
      <c r="D47" s="88" t="s">
        <v>309</v>
      </c>
      <c r="E47" s="87">
        <v>-150</v>
      </c>
    </row>
    <row r="48" spans="1:5" x14ac:dyDescent="0.25">
      <c r="A48" s="88" t="s">
        <v>302</v>
      </c>
      <c r="B48" s="88" t="s">
        <v>39</v>
      </c>
      <c r="C48" s="88">
        <v>10007</v>
      </c>
      <c r="D48" s="88" t="s">
        <v>263</v>
      </c>
      <c r="E48" s="87">
        <v>-150</v>
      </c>
    </row>
    <row r="49" spans="1:6" x14ac:dyDescent="0.25">
      <c r="A49" s="88" t="s">
        <v>302</v>
      </c>
      <c r="B49" s="88" t="s">
        <v>39</v>
      </c>
      <c r="C49" s="88">
        <v>10006</v>
      </c>
      <c r="D49" s="88" t="s">
        <v>310</v>
      </c>
      <c r="E49" s="87">
        <v>-150</v>
      </c>
    </row>
    <row r="50" spans="1:6" x14ac:dyDescent="0.25">
      <c r="A50" s="88" t="s">
        <v>111</v>
      </c>
      <c r="B50" s="88" t="s">
        <v>39</v>
      </c>
      <c r="C50" s="88">
        <v>10014</v>
      </c>
      <c r="D50" s="88" t="s">
        <v>109</v>
      </c>
      <c r="E50" s="87">
        <v>-1750</v>
      </c>
      <c r="F50" s="58"/>
    </row>
    <row r="51" spans="1:6" x14ac:dyDescent="0.25">
      <c r="A51" s="88" t="s">
        <v>260</v>
      </c>
      <c r="B51" s="88" t="s">
        <v>39</v>
      </c>
      <c r="C51" s="88"/>
      <c r="D51" s="88" t="s">
        <v>259</v>
      </c>
      <c r="E51" s="87">
        <v>-1250</v>
      </c>
    </row>
    <row r="52" spans="1:6" x14ac:dyDescent="0.25">
      <c r="A52" s="88" t="s">
        <v>284</v>
      </c>
      <c r="B52" s="88" t="s">
        <v>39</v>
      </c>
      <c r="C52" s="88"/>
      <c r="D52" s="88" t="s">
        <v>286</v>
      </c>
      <c r="E52" s="87">
        <v>-2800</v>
      </c>
    </row>
    <row r="53" spans="1:6" x14ac:dyDescent="0.25">
      <c r="A53" s="88" t="s">
        <v>267</v>
      </c>
      <c r="B53" s="88" t="s">
        <v>39</v>
      </c>
      <c r="C53" s="88"/>
      <c r="D53" s="88" t="s">
        <v>265</v>
      </c>
      <c r="E53" s="87">
        <v>-1700</v>
      </c>
    </row>
    <row r="54" spans="1:6" x14ac:dyDescent="0.25">
      <c r="A54" s="88" t="s">
        <v>112</v>
      </c>
      <c r="B54" s="88" t="s">
        <v>39</v>
      </c>
      <c r="C54" s="88"/>
      <c r="D54" s="88" t="s">
        <v>109</v>
      </c>
      <c r="E54" s="87">
        <v>-1750</v>
      </c>
    </row>
    <row r="55" spans="1:6" x14ac:dyDescent="0.25">
      <c r="A55" s="88" t="s">
        <v>113</v>
      </c>
      <c r="B55" s="88" t="s">
        <v>39</v>
      </c>
      <c r="C55" s="88"/>
      <c r="D55" s="88" t="s">
        <v>109</v>
      </c>
      <c r="E55" s="87">
        <v>-1750</v>
      </c>
    </row>
    <row r="56" spans="1:6" x14ac:dyDescent="0.25">
      <c r="A56" s="88" t="s">
        <v>114</v>
      </c>
      <c r="B56" s="88" t="s">
        <v>39</v>
      </c>
      <c r="C56" s="88"/>
      <c r="D56" s="88" t="s">
        <v>109</v>
      </c>
      <c r="E56" s="87">
        <v>-1750</v>
      </c>
    </row>
    <row r="57" spans="1:6" x14ac:dyDescent="0.25">
      <c r="A57" s="88" t="s">
        <v>268</v>
      </c>
      <c r="B57" s="88" t="s">
        <v>39</v>
      </c>
      <c r="C57" s="88"/>
      <c r="D57" s="88" t="s">
        <v>264</v>
      </c>
      <c r="E57" s="87">
        <v>-5000</v>
      </c>
    </row>
    <row r="58" spans="1:6" x14ac:dyDescent="0.25">
      <c r="A58" s="60"/>
      <c r="B58" s="60"/>
      <c r="C58" s="60"/>
      <c r="D58" s="60"/>
      <c r="E58" s="58"/>
    </row>
    <row r="59" spans="1:6" x14ac:dyDescent="0.25">
      <c r="A59" s="60"/>
      <c r="B59" s="60"/>
      <c r="C59" s="60"/>
      <c r="D59" s="60"/>
      <c r="E59" s="58"/>
    </row>
    <row r="60" spans="1:6" x14ac:dyDescent="0.25">
      <c r="A60" s="60"/>
      <c r="B60" s="60"/>
      <c r="C60" s="60"/>
      <c r="D60" s="60"/>
      <c r="E60" s="58"/>
    </row>
    <row r="61" spans="1:6" x14ac:dyDescent="0.25">
      <c r="A61" s="60"/>
      <c r="B61" s="60"/>
      <c r="C61" s="60"/>
      <c r="D61" s="60"/>
      <c r="E61" s="58"/>
    </row>
    <row r="62" spans="1:6" x14ac:dyDescent="0.25">
      <c r="A62" s="60"/>
      <c r="B62" s="60"/>
      <c r="C62" s="60"/>
      <c r="D62" s="60"/>
      <c r="E62" s="58"/>
    </row>
    <row r="63" spans="1:6" x14ac:dyDescent="0.25">
      <c r="A63" s="60"/>
      <c r="B63" s="60"/>
      <c r="C63" s="60"/>
      <c r="D63" s="60"/>
      <c r="E63" s="58"/>
    </row>
    <row r="64" spans="1:6" x14ac:dyDescent="0.25">
      <c r="A64" s="7"/>
      <c r="B64" s="7"/>
      <c r="C64" s="7"/>
      <c r="D64" s="8" t="s">
        <v>27</v>
      </c>
      <c r="E64" s="9">
        <f>SUM(E12:E63)</f>
        <v>-32480.28</v>
      </c>
    </row>
    <row r="65" spans="1:5" x14ac:dyDescent="0.25">
      <c r="A65" s="7"/>
      <c r="B65" s="7"/>
      <c r="C65" s="7"/>
      <c r="D65" s="60"/>
      <c r="E65" s="10"/>
    </row>
    <row r="66" spans="1:5" ht="15.75" thickBot="1" x14ac:dyDescent="0.3">
      <c r="A66" s="32" t="s">
        <v>28</v>
      </c>
      <c r="B66" s="35"/>
      <c r="C66" s="35"/>
      <c r="D66" s="1"/>
      <c r="E66" s="35"/>
    </row>
    <row r="67" spans="1:5" x14ac:dyDescent="0.25">
      <c r="A67" s="11" t="s">
        <v>84</v>
      </c>
      <c r="E67" s="10"/>
    </row>
    <row r="68" spans="1:5" x14ac:dyDescent="0.25">
      <c r="A68" s="11" t="s">
        <v>29</v>
      </c>
      <c r="D68" s="82"/>
      <c r="E68" s="10"/>
    </row>
    <row r="69" spans="1:5" x14ac:dyDescent="0.25">
      <c r="A69" s="11" t="s">
        <v>30</v>
      </c>
      <c r="E69" s="10"/>
    </row>
    <row r="70" spans="1:5" x14ac:dyDescent="0.25">
      <c r="D70" s="8" t="s">
        <v>31</v>
      </c>
      <c r="E70" s="9">
        <f>SUM(E67:E69)</f>
        <v>0</v>
      </c>
    </row>
    <row r="71" spans="1:5" ht="15.75" thickBot="1" x14ac:dyDescent="0.3">
      <c r="A71" s="32" t="s">
        <v>32</v>
      </c>
      <c r="B71" s="35"/>
    </row>
    <row r="72" spans="1:5" x14ac:dyDescent="0.25">
      <c r="A72" s="36" t="s">
        <v>33</v>
      </c>
      <c r="B72" s="30">
        <f>+B8</f>
        <v>-32480.280000000013</v>
      </c>
    </row>
    <row r="73" spans="1:5" ht="15.75" thickBot="1" x14ac:dyDescent="0.3">
      <c r="A73" s="37" t="s">
        <v>34</v>
      </c>
      <c r="B73" s="39">
        <f>E64-E71</f>
        <v>-32480.28</v>
      </c>
    </row>
    <row r="74" spans="1:5" ht="15.75" thickTop="1" x14ac:dyDescent="0.25">
      <c r="A74" s="38" t="s">
        <v>32</v>
      </c>
      <c r="B74" s="30">
        <f>B72-B73</f>
        <v>0</v>
      </c>
      <c r="E74" s="30"/>
    </row>
    <row r="75" spans="1:5" x14ac:dyDescent="0.25">
      <c r="B75" s="30"/>
    </row>
    <row r="76" spans="1:5" ht="15.75" thickBot="1" x14ac:dyDescent="0.3">
      <c r="A76" s="40" t="s">
        <v>35</v>
      </c>
      <c r="B76" s="41"/>
    </row>
    <row r="77" spans="1:5" x14ac:dyDescent="0.25">
      <c r="A77" s="42" t="s">
        <v>19</v>
      </c>
      <c r="B77" s="59">
        <f>+B6</f>
        <v>141267.48000000001</v>
      </c>
    </row>
    <row r="78" spans="1:5" x14ac:dyDescent="0.25">
      <c r="A78" s="42" t="s">
        <v>27</v>
      </c>
      <c r="B78" s="43">
        <f>E64</f>
        <v>-32480.28</v>
      </c>
    </row>
    <row r="79" spans="1:5" ht="15.75" thickBot="1" x14ac:dyDescent="0.3">
      <c r="A79" s="44" t="s">
        <v>31</v>
      </c>
      <c r="B79" s="45">
        <f>E70</f>
        <v>0</v>
      </c>
    </row>
    <row r="80" spans="1:5" ht="15.75" thickTop="1" x14ac:dyDescent="0.25">
      <c r="A80" s="42" t="s">
        <v>36</v>
      </c>
      <c r="B80" s="43">
        <f>B77+B78-B79</f>
        <v>108787.20000000001</v>
      </c>
    </row>
    <row r="81" spans="1:2" ht="15.75" thickBot="1" x14ac:dyDescent="0.3">
      <c r="A81" s="44" t="s">
        <v>37</v>
      </c>
      <c r="B81" s="45">
        <f>+B7</f>
        <v>108787.2</v>
      </c>
    </row>
    <row r="82" spans="1:2" ht="15.75" thickTop="1" x14ac:dyDescent="0.25">
      <c r="A82" s="46" t="s">
        <v>32</v>
      </c>
      <c r="B82" s="47">
        <f>B80-B81</f>
        <v>0</v>
      </c>
    </row>
  </sheetData>
  <mergeCells count="3">
    <mergeCell ref="A2:E2"/>
    <mergeCell ref="A4:E4"/>
    <mergeCell ref="A1:E1"/>
  </mergeCells>
  <pageMargins left="0.7" right="0.7" top="0.75" bottom="0.75" header="0.3" footer="0.3"/>
  <pageSetup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721-DA78-469C-957E-EE27A7B17D52}">
  <sheetPr>
    <pageSetUpPr fitToPage="1"/>
  </sheetPr>
  <dimension ref="A1:N25"/>
  <sheetViews>
    <sheetView workbookViewId="0">
      <selection activeCell="F9" sqref="F9"/>
    </sheetView>
  </sheetViews>
  <sheetFormatPr defaultColWidth="9.140625" defaultRowHeight="15" x14ac:dyDescent="0.25"/>
  <cols>
    <col min="1" max="1" width="14.140625" style="74" bestFit="1" customWidth="1"/>
    <col min="2" max="2" width="10.7109375" style="74" customWidth="1"/>
    <col min="3" max="4" width="9" style="74" customWidth="1"/>
    <col min="5" max="10" width="15.85546875" style="74" customWidth="1"/>
    <col min="11" max="11" width="16.7109375" style="74" customWidth="1"/>
    <col min="12" max="12" width="31.28515625" style="74" customWidth="1"/>
    <col min="13" max="16384" width="9.140625" style="74"/>
  </cols>
  <sheetData>
    <row r="1" spans="1:14" x14ac:dyDescent="0.25">
      <c r="A1" s="31" t="s">
        <v>117</v>
      </c>
      <c r="B1" s="64">
        <v>44681</v>
      </c>
    </row>
    <row r="2" spans="1:14" x14ac:dyDescent="0.25">
      <c r="F2" s="19"/>
      <c r="H2" s="19"/>
    </row>
    <row r="3" spans="1:14" x14ac:dyDescent="0.25">
      <c r="B3" s="109" t="s">
        <v>16</v>
      </c>
      <c r="C3" s="109"/>
      <c r="D3" s="109"/>
      <c r="E3" s="110" t="s">
        <v>17</v>
      </c>
      <c r="F3" s="110"/>
      <c r="G3" s="110"/>
      <c r="H3" s="111" t="s">
        <v>2</v>
      </c>
      <c r="I3" s="111"/>
      <c r="J3" s="111"/>
      <c r="K3" s="112" t="s">
        <v>66</v>
      </c>
      <c r="L3" s="112"/>
    </row>
    <row r="4" spans="1:14" x14ac:dyDescent="0.25">
      <c r="B4" s="13" t="s">
        <v>3</v>
      </c>
      <c r="C4" s="13" t="s">
        <v>4</v>
      </c>
      <c r="D4" s="13" t="s">
        <v>5</v>
      </c>
      <c r="E4" s="14">
        <v>44378</v>
      </c>
      <c r="F4" s="14">
        <v>44742</v>
      </c>
      <c r="G4" s="15" t="s">
        <v>6</v>
      </c>
      <c r="H4" s="14" t="s">
        <v>7</v>
      </c>
      <c r="I4" s="16" t="s">
        <v>8</v>
      </c>
      <c r="J4" s="17" t="s">
        <v>6</v>
      </c>
      <c r="K4" s="18" t="s">
        <v>0</v>
      </c>
      <c r="L4" s="29" t="s">
        <v>38</v>
      </c>
    </row>
    <row r="5" spans="1:14" x14ac:dyDescent="0.25">
      <c r="A5" s="12" t="s">
        <v>9</v>
      </c>
      <c r="B5" s="74">
        <v>1120</v>
      </c>
      <c r="C5" s="74">
        <v>6400</v>
      </c>
      <c r="D5" s="74">
        <v>7400</v>
      </c>
      <c r="E5" s="19">
        <v>2500</v>
      </c>
      <c r="F5" s="19">
        <v>6349</v>
      </c>
      <c r="G5" s="20">
        <f t="shared" ref="G5:G10" si="0">F5-E5</f>
        <v>3849</v>
      </c>
      <c r="H5" s="19">
        <v>42850.7</v>
      </c>
      <c r="I5" s="19">
        <v>39001.699999999997</v>
      </c>
      <c r="J5" s="21">
        <f>H5-I5</f>
        <v>3849</v>
      </c>
      <c r="K5" s="19">
        <f>J5-G5</f>
        <v>0</v>
      </c>
      <c r="N5" s="19"/>
    </row>
    <row r="6" spans="1:14" x14ac:dyDescent="0.25">
      <c r="A6" s="12" t="s">
        <v>10</v>
      </c>
      <c r="B6" s="74">
        <v>1125</v>
      </c>
      <c r="C6" s="74">
        <v>6450</v>
      </c>
      <c r="D6" s="74">
        <v>7450</v>
      </c>
      <c r="E6" s="19">
        <v>2500</v>
      </c>
      <c r="F6" s="19">
        <v>2434.14</v>
      </c>
      <c r="G6" s="20">
        <f t="shared" si="0"/>
        <v>-65.860000000000127</v>
      </c>
      <c r="H6" s="19">
        <v>679.14</v>
      </c>
      <c r="I6" s="19">
        <v>745</v>
      </c>
      <c r="J6" s="21">
        <f t="shared" ref="J6:J10" si="1">H6-I6</f>
        <v>-65.860000000000014</v>
      </c>
      <c r="K6" s="19">
        <f t="shared" ref="K6:K10" si="2">J6-G6</f>
        <v>1.1368683772161603E-13</v>
      </c>
    </row>
    <row r="7" spans="1:14" x14ac:dyDescent="0.25">
      <c r="A7" s="12" t="s">
        <v>11</v>
      </c>
      <c r="B7" s="74">
        <v>1130</v>
      </c>
      <c r="C7" s="74">
        <v>6700</v>
      </c>
      <c r="D7" s="74">
        <v>7700</v>
      </c>
      <c r="E7" s="19">
        <v>2500</v>
      </c>
      <c r="F7" s="19">
        <v>236.66</v>
      </c>
      <c r="G7" s="20">
        <f t="shared" si="0"/>
        <v>-2263.34</v>
      </c>
      <c r="H7" s="19">
        <v>9401.2800000000007</v>
      </c>
      <c r="I7" s="19">
        <v>11621.5</v>
      </c>
      <c r="J7" s="21">
        <f t="shared" si="1"/>
        <v>-2220.2199999999993</v>
      </c>
      <c r="K7" s="19">
        <f t="shared" si="2"/>
        <v>43.1200000000008</v>
      </c>
      <c r="L7" s="86" t="s">
        <v>289</v>
      </c>
    </row>
    <row r="8" spans="1:14" x14ac:dyDescent="0.25">
      <c r="A8" s="12" t="s">
        <v>12</v>
      </c>
      <c r="B8" s="74">
        <v>1140</v>
      </c>
      <c r="C8" s="74">
        <v>6800</v>
      </c>
      <c r="D8" s="74">
        <v>7800</v>
      </c>
      <c r="E8" s="19">
        <v>2500</v>
      </c>
      <c r="F8" s="19">
        <v>3134.08</v>
      </c>
      <c r="G8" s="20">
        <f t="shared" si="0"/>
        <v>634.07999999999993</v>
      </c>
      <c r="H8" s="19">
        <v>1939</v>
      </c>
      <c r="I8" s="19">
        <v>1304.92</v>
      </c>
      <c r="J8" s="21">
        <f t="shared" si="1"/>
        <v>634.07999999999993</v>
      </c>
      <c r="K8" s="19">
        <f t="shared" si="2"/>
        <v>0</v>
      </c>
    </row>
    <row r="9" spans="1:14" x14ac:dyDescent="0.25">
      <c r="A9" s="12" t="s">
        <v>13</v>
      </c>
      <c r="B9" s="74">
        <v>1145</v>
      </c>
      <c r="C9" s="74">
        <v>6850</v>
      </c>
      <c r="D9" s="74">
        <v>7850</v>
      </c>
      <c r="E9" s="19">
        <v>4360</v>
      </c>
      <c r="F9" s="19">
        <v>-11783.04</v>
      </c>
      <c r="G9" s="20">
        <f t="shared" si="0"/>
        <v>-16143.04</v>
      </c>
      <c r="H9" s="19">
        <v>39321.42</v>
      </c>
      <c r="I9" s="19">
        <v>55464.46</v>
      </c>
      <c r="J9" s="21">
        <f t="shared" si="1"/>
        <v>-16143.04</v>
      </c>
      <c r="K9" s="19">
        <f t="shared" si="2"/>
        <v>0</v>
      </c>
    </row>
    <row r="10" spans="1:14" ht="15.75" thickBot="1" x14ac:dyDescent="0.3">
      <c r="A10" s="22" t="s">
        <v>15</v>
      </c>
      <c r="B10" s="23">
        <v>1166</v>
      </c>
      <c r="C10" s="23">
        <v>6860</v>
      </c>
      <c r="D10" s="23">
        <v>7860</v>
      </c>
      <c r="E10" s="24">
        <v>27763.51</v>
      </c>
      <c r="F10" s="24">
        <v>13273.19</v>
      </c>
      <c r="G10" s="25">
        <f t="shared" si="0"/>
        <v>-14490.319999999998</v>
      </c>
      <c r="H10" s="24">
        <v>11350</v>
      </c>
      <c r="I10" s="24">
        <v>25840.32</v>
      </c>
      <c r="J10" s="26">
        <f t="shared" si="1"/>
        <v>-14490.32</v>
      </c>
      <c r="K10" s="24">
        <f t="shared" si="2"/>
        <v>0</v>
      </c>
      <c r="L10" s="23"/>
    </row>
    <row r="11" spans="1:14" ht="15.75" thickTop="1" x14ac:dyDescent="0.25">
      <c r="A11" s="27" t="s">
        <v>14</v>
      </c>
      <c r="E11" s="28">
        <f>SUM(E5:E10)</f>
        <v>42123.509999999995</v>
      </c>
      <c r="F11" s="28">
        <f>SUM(F5:F10)</f>
        <v>13644.029999999999</v>
      </c>
      <c r="G11" s="28">
        <f>SUM(G5:G10)</f>
        <v>-28479.48</v>
      </c>
      <c r="H11" s="28">
        <f>SUM(H5:H10)</f>
        <v>105541.54</v>
      </c>
      <c r="I11" s="28"/>
      <c r="J11" s="28">
        <f>SUM(J5:J10)</f>
        <v>-28436.36</v>
      </c>
      <c r="K11" s="56">
        <f>J11-G11</f>
        <v>43.119999999998981</v>
      </c>
    </row>
    <row r="13" spans="1:14" x14ac:dyDescent="0.25">
      <c r="A13" s="74" t="s">
        <v>65</v>
      </c>
    </row>
    <row r="15" spans="1:14" x14ac:dyDescent="0.25">
      <c r="A15" s="12" t="s">
        <v>1</v>
      </c>
      <c r="C15" s="12"/>
      <c r="D15" s="12"/>
    </row>
    <row r="16" spans="1:14" x14ac:dyDescent="0.25">
      <c r="A16" s="74" t="s">
        <v>40</v>
      </c>
    </row>
    <row r="17" spans="1:11" x14ac:dyDescent="0.25">
      <c r="A17" s="74" t="s">
        <v>42</v>
      </c>
    </row>
    <row r="18" spans="1:11" x14ac:dyDescent="0.25">
      <c r="A18" s="74" t="s">
        <v>41</v>
      </c>
    </row>
    <row r="21" spans="1:11" x14ac:dyDescent="0.25">
      <c r="A21" s="12" t="s">
        <v>120</v>
      </c>
    </row>
    <row r="22" spans="1:11" x14ac:dyDescent="0.25">
      <c r="A22" s="74" t="s">
        <v>121</v>
      </c>
      <c r="B22" s="74" t="s">
        <v>122</v>
      </c>
    </row>
    <row r="23" spans="1:11" x14ac:dyDescent="0.25">
      <c r="A23" s="74" t="s">
        <v>121</v>
      </c>
      <c r="B23" s="74" t="s">
        <v>125</v>
      </c>
    </row>
    <row r="25" spans="1:11" x14ac:dyDescent="0.25">
      <c r="H25" s="19"/>
      <c r="I25" s="19"/>
      <c r="J25" s="19"/>
      <c r="K25" s="19"/>
    </row>
  </sheetData>
  <mergeCells count="4">
    <mergeCell ref="B3:D3"/>
    <mergeCell ref="E3:G3"/>
    <mergeCell ref="H3:J3"/>
    <mergeCell ref="K3:L3"/>
  </mergeCells>
  <pageMargins left="0.2" right="0.2" top="0.25" bottom="0.25" header="0.05" footer="0.3"/>
  <pageSetup scale="73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28F7-8E50-4847-8098-B4BEC7DEFE7E}">
  <dimension ref="A1:B28"/>
  <sheetViews>
    <sheetView workbookViewId="0">
      <selection activeCell="B9" sqref="B9"/>
    </sheetView>
  </sheetViews>
  <sheetFormatPr defaultRowHeight="15" x14ac:dyDescent="0.25"/>
  <cols>
    <col min="1" max="1" width="36.140625" style="92" customWidth="1"/>
    <col min="2" max="2" width="32.7109375" style="92" customWidth="1"/>
    <col min="3" max="16384" width="9.140625" style="92"/>
  </cols>
  <sheetData>
    <row r="1" spans="1:2" ht="18" x14ac:dyDescent="0.25">
      <c r="A1" s="100" t="s">
        <v>61</v>
      </c>
      <c r="B1" s="101"/>
    </row>
    <row r="2" spans="1:2" ht="18" x14ac:dyDescent="0.25">
      <c r="A2" s="100" t="s">
        <v>43</v>
      </c>
      <c r="B2" s="101"/>
    </row>
    <row r="3" spans="1:2" x14ac:dyDescent="0.25">
      <c r="A3" s="102" t="s">
        <v>290</v>
      </c>
      <c r="B3" s="101"/>
    </row>
    <row r="5" spans="1:2" x14ac:dyDescent="0.25">
      <c r="A5" s="93"/>
      <c r="B5" s="94" t="s">
        <v>44</v>
      </c>
    </row>
    <row r="6" spans="1:2" x14ac:dyDescent="0.25">
      <c r="A6" s="95" t="s">
        <v>45</v>
      </c>
      <c r="B6" s="96"/>
    </row>
    <row r="7" spans="1:2" x14ac:dyDescent="0.25">
      <c r="A7" s="95" t="s">
        <v>46</v>
      </c>
      <c r="B7" s="96"/>
    </row>
    <row r="8" spans="1:2" x14ac:dyDescent="0.25">
      <c r="A8" s="95" t="s">
        <v>47</v>
      </c>
      <c r="B8" s="96"/>
    </row>
    <row r="9" spans="1:2" x14ac:dyDescent="0.25">
      <c r="A9" s="95" t="s">
        <v>316</v>
      </c>
      <c r="B9" s="97">
        <f>50505.18</f>
        <v>50505.18</v>
      </c>
    </row>
    <row r="10" spans="1:2" x14ac:dyDescent="0.25">
      <c r="A10" s="95" t="s">
        <v>48</v>
      </c>
      <c r="B10" s="98">
        <f>B9</f>
        <v>50505.18</v>
      </c>
    </row>
    <row r="11" spans="1:2" x14ac:dyDescent="0.25">
      <c r="A11" s="95" t="s">
        <v>246</v>
      </c>
      <c r="B11" s="96"/>
    </row>
    <row r="12" spans="1:2" x14ac:dyDescent="0.25">
      <c r="A12" s="95" t="s">
        <v>317</v>
      </c>
      <c r="B12" s="97">
        <f>3531</f>
        <v>3531</v>
      </c>
    </row>
    <row r="13" spans="1:2" x14ac:dyDescent="0.25">
      <c r="A13" s="95" t="s">
        <v>247</v>
      </c>
      <c r="B13" s="98">
        <f>B12</f>
        <v>3531</v>
      </c>
    </row>
    <row r="14" spans="1:2" x14ac:dyDescent="0.25">
      <c r="A14" s="95" t="s">
        <v>49</v>
      </c>
      <c r="B14" s="98">
        <f>(B10)+(B13)</f>
        <v>54036.18</v>
      </c>
    </row>
    <row r="15" spans="1:2" x14ac:dyDescent="0.25">
      <c r="A15" s="95" t="s">
        <v>50</v>
      </c>
      <c r="B15" s="98">
        <f>B14</f>
        <v>54036.18</v>
      </c>
    </row>
    <row r="16" spans="1:2" x14ac:dyDescent="0.25">
      <c r="A16" s="95" t="s">
        <v>51</v>
      </c>
      <c r="B16" s="96"/>
    </row>
    <row r="17" spans="1:2" x14ac:dyDescent="0.25">
      <c r="A17" s="95" t="s">
        <v>52</v>
      </c>
      <c r="B17" s="96"/>
    </row>
    <row r="18" spans="1:2" x14ac:dyDescent="0.25">
      <c r="A18" s="95" t="s">
        <v>53</v>
      </c>
      <c r="B18" s="96"/>
    </row>
    <row r="19" spans="1:2" x14ac:dyDescent="0.25">
      <c r="A19" s="95" t="s">
        <v>54</v>
      </c>
      <c r="B19" s="96"/>
    </row>
    <row r="20" spans="1:2" x14ac:dyDescent="0.25">
      <c r="A20" s="95" t="s">
        <v>55</v>
      </c>
      <c r="B20" s="97">
        <f>2815.67</f>
        <v>2815.67</v>
      </c>
    </row>
    <row r="21" spans="1:2" x14ac:dyDescent="0.25">
      <c r="A21" s="95" t="s">
        <v>56</v>
      </c>
      <c r="B21" s="97">
        <f>52995.37</f>
        <v>52995.37</v>
      </c>
    </row>
    <row r="22" spans="1:2" x14ac:dyDescent="0.25">
      <c r="A22" s="95" t="s">
        <v>318</v>
      </c>
      <c r="B22" s="97">
        <f>-1774.86</f>
        <v>-1774.86</v>
      </c>
    </row>
    <row r="23" spans="1:2" x14ac:dyDescent="0.25">
      <c r="A23" s="95" t="s">
        <v>57</v>
      </c>
      <c r="B23" s="98">
        <f>((B20)+(B21))+(B22)</f>
        <v>54036.18</v>
      </c>
    </row>
    <row r="24" spans="1:2" x14ac:dyDescent="0.25">
      <c r="A24" s="95" t="s">
        <v>58</v>
      </c>
      <c r="B24" s="98">
        <f>(B18)+(B23)</f>
        <v>54036.18</v>
      </c>
    </row>
    <row r="25" spans="1:2" x14ac:dyDescent="0.25">
      <c r="A25" s="95"/>
      <c r="B25" s="96"/>
    </row>
    <row r="28" spans="1:2" x14ac:dyDescent="0.25">
      <c r="A28" s="103" t="s">
        <v>319</v>
      </c>
      <c r="B28" s="101"/>
    </row>
  </sheetData>
  <mergeCells count="4">
    <mergeCell ref="A1:B1"/>
    <mergeCell ref="A2:B2"/>
    <mergeCell ref="A3:B3"/>
    <mergeCell ref="A28:B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3B52-B1DB-4EC4-AB16-56A7B396FD94}">
  <dimension ref="A1:B30"/>
  <sheetViews>
    <sheetView workbookViewId="0">
      <selection activeCell="B26" sqref="B26"/>
    </sheetView>
  </sheetViews>
  <sheetFormatPr defaultRowHeight="15" x14ac:dyDescent="0.25"/>
  <cols>
    <col min="1" max="1" width="49" style="92" customWidth="1"/>
    <col min="2" max="2" width="32.7109375" style="92" customWidth="1"/>
    <col min="3" max="16384" width="9.140625" style="92"/>
  </cols>
  <sheetData>
    <row r="1" spans="1:2" ht="18" x14ac:dyDescent="0.25">
      <c r="A1" s="100" t="s">
        <v>61</v>
      </c>
      <c r="B1" s="101"/>
    </row>
    <row r="2" spans="1:2" ht="18" x14ac:dyDescent="0.25">
      <c r="A2" s="100" t="s">
        <v>320</v>
      </c>
      <c r="B2" s="101"/>
    </row>
    <row r="3" spans="1:2" x14ac:dyDescent="0.25">
      <c r="A3" s="102" t="s">
        <v>127</v>
      </c>
      <c r="B3" s="101"/>
    </row>
    <row r="5" spans="1:2" x14ac:dyDescent="0.25">
      <c r="A5" s="93"/>
      <c r="B5" s="94" t="s">
        <v>44</v>
      </c>
    </row>
    <row r="6" spans="1:2" x14ac:dyDescent="0.25">
      <c r="A6" s="95" t="s">
        <v>4</v>
      </c>
      <c r="B6" s="96"/>
    </row>
    <row r="7" spans="1:2" x14ac:dyDescent="0.25">
      <c r="A7" s="95" t="s">
        <v>321</v>
      </c>
      <c r="B7" s="96"/>
    </row>
    <row r="8" spans="1:2" x14ac:dyDescent="0.25">
      <c r="A8" s="95" t="s">
        <v>322</v>
      </c>
      <c r="B8" s="97">
        <f>21441.59</f>
        <v>21441.59</v>
      </c>
    </row>
    <row r="9" spans="1:2" x14ac:dyDescent="0.25">
      <c r="A9" s="95" t="s">
        <v>323</v>
      </c>
      <c r="B9" s="97">
        <f>364291.02</f>
        <v>364291.02</v>
      </c>
    </row>
    <row r="10" spans="1:2" x14ac:dyDescent="0.25">
      <c r="A10" s="95" t="s">
        <v>324</v>
      </c>
      <c r="B10" s="98">
        <f>((B7)+(B8))+(B9)</f>
        <v>385732.61000000004</v>
      </c>
    </row>
    <row r="11" spans="1:2" x14ac:dyDescent="0.25">
      <c r="A11" s="95" t="s">
        <v>325</v>
      </c>
      <c r="B11" s="97">
        <f>311.53</f>
        <v>311.52999999999997</v>
      </c>
    </row>
    <row r="12" spans="1:2" x14ac:dyDescent="0.25">
      <c r="A12" s="95" t="s">
        <v>326</v>
      </c>
      <c r="B12" s="98">
        <f>(B10)+(B11)</f>
        <v>386044.14000000007</v>
      </c>
    </row>
    <row r="13" spans="1:2" x14ac:dyDescent="0.25">
      <c r="A13" s="95" t="s">
        <v>151</v>
      </c>
      <c r="B13" s="98">
        <f>(B12)-(0)</f>
        <v>386044.14000000007</v>
      </c>
    </row>
    <row r="14" spans="1:2" x14ac:dyDescent="0.25">
      <c r="A14" s="95" t="s">
        <v>327</v>
      </c>
      <c r="B14" s="96"/>
    </row>
    <row r="15" spans="1:2" x14ac:dyDescent="0.25">
      <c r="A15" s="95" t="s">
        <v>328</v>
      </c>
      <c r="B15" s="97">
        <f>0</f>
        <v>0</v>
      </c>
    </row>
    <row r="16" spans="1:2" x14ac:dyDescent="0.25">
      <c r="A16" s="95" t="s">
        <v>329</v>
      </c>
      <c r="B16" s="97">
        <f>23618.6</f>
        <v>23618.6</v>
      </c>
    </row>
    <row r="17" spans="1:2" x14ac:dyDescent="0.25">
      <c r="A17" s="95" t="s">
        <v>330</v>
      </c>
      <c r="B17" s="97">
        <f>364346.08</f>
        <v>364346.08</v>
      </c>
    </row>
    <row r="18" spans="1:2" x14ac:dyDescent="0.25">
      <c r="A18" s="95" t="s">
        <v>331</v>
      </c>
      <c r="B18" s="98">
        <f>((B15)+(B16))+(B17)</f>
        <v>387964.68</v>
      </c>
    </row>
    <row r="19" spans="1:2" x14ac:dyDescent="0.25">
      <c r="A19" s="95" t="s">
        <v>332</v>
      </c>
      <c r="B19" s="97">
        <f>0</f>
        <v>0</v>
      </c>
    </row>
    <row r="20" spans="1:2" x14ac:dyDescent="0.25">
      <c r="A20" s="95" t="s">
        <v>333</v>
      </c>
      <c r="B20" s="98">
        <f>(B18)+(B19)</f>
        <v>387964.68</v>
      </c>
    </row>
    <row r="21" spans="1:2" x14ac:dyDescent="0.25">
      <c r="A21" s="95" t="s">
        <v>334</v>
      </c>
      <c r="B21" s="98">
        <f>(B13)-(B20)</f>
        <v>-1920.5399999999208</v>
      </c>
    </row>
    <row r="22" spans="1:2" x14ac:dyDescent="0.25">
      <c r="A22" s="95" t="s">
        <v>335</v>
      </c>
      <c r="B22" s="96"/>
    </row>
    <row r="23" spans="1:2" x14ac:dyDescent="0.25">
      <c r="A23" s="95" t="s">
        <v>336</v>
      </c>
      <c r="B23" s="97">
        <f>12.94</f>
        <v>12.94</v>
      </c>
    </row>
    <row r="24" spans="1:2" x14ac:dyDescent="0.25">
      <c r="A24" s="95" t="s">
        <v>337</v>
      </c>
      <c r="B24" s="98">
        <f>B23</f>
        <v>12.94</v>
      </c>
    </row>
    <row r="25" spans="1:2" x14ac:dyDescent="0.25">
      <c r="A25" s="95" t="s">
        <v>338</v>
      </c>
      <c r="B25" s="98">
        <f>(B24)-(0)</f>
        <v>12.94</v>
      </c>
    </row>
    <row r="26" spans="1:2" x14ac:dyDescent="0.25">
      <c r="A26" s="95" t="s">
        <v>339</v>
      </c>
      <c r="B26" s="98">
        <f>(B21)+(B25)</f>
        <v>-1907.5999999999208</v>
      </c>
    </row>
    <row r="27" spans="1:2" x14ac:dyDescent="0.25">
      <c r="A27" s="95"/>
      <c r="B27" s="96"/>
    </row>
    <row r="30" spans="1:2" x14ac:dyDescent="0.25">
      <c r="A30" s="103" t="s">
        <v>340</v>
      </c>
      <c r="B30" s="101"/>
    </row>
  </sheetData>
  <mergeCells count="4">
    <mergeCell ref="A1:B1"/>
    <mergeCell ref="A2:B2"/>
    <mergeCell ref="A3:B3"/>
    <mergeCell ref="A30:B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1C418-4D49-4D36-B06D-D05DB73A850C}">
  <dimension ref="A1:A10"/>
  <sheetViews>
    <sheetView workbookViewId="0"/>
  </sheetViews>
  <sheetFormatPr defaultColWidth="8.85546875" defaultRowHeight="15" x14ac:dyDescent="0.25"/>
  <cols>
    <col min="1" max="1" width="64.42578125" style="72" customWidth="1"/>
    <col min="2" max="16384" width="8.85546875" style="72"/>
  </cols>
  <sheetData>
    <row r="1" spans="1:1" ht="18" x14ac:dyDescent="0.25">
      <c r="A1" s="73" t="s">
        <v>61</v>
      </c>
    </row>
    <row r="2" spans="1:1" ht="18" x14ac:dyDescent="0.25">
      <c r="A2" s="73" t="s">
        <v>62</v>
      </c>
    </row>
    <row r="3" spans="1:1" x14ac:dyDescent="0.25">
      <c r="A3" s="78" t="s">
        <v>63</v>
      </c>
    </row>
    <row r="5" spans="1:1" x14ac:dyDescent="0.25">
      <c r="A5" s="65"/>
    </row>
    <row r="6" spans="1:1" x14ac:dyDescent="0.25">
      <c r="A6" s="75" t="s">
        <v>14</v>
      </c>
    </row>
    <row r="7" spans="1:1" x14ac:dyDescent="0.25">
      <c r="A7" s="75"/>
    </row>
    <row r="9" spans="1:1" x14ac:dyDescent="0.25">
      <c r="A9" s="80" t="s">
        <v>269</v>
      </c>
    </row>
    <row r="10" spans="1:1" x14ac:dyDescent="0.25">
      <c r="A10" s="7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6CB6-CBA4-475D-91E3-61CC1C4E706E}">
  <dimension ref="A1:AN55"/>
  <sheetViews>
    <sheetView topLeftCell="A21" workbookViewId="0">
      <selection activeCell="C7" sqref="C7"/>
    </sheetView>
  </sheetViews>
  <sheetFormatPr defaultColWidth="9.140625" defaultRowHeight="15" x14ac:dyDescent="0.25"/>
  <cols>
    <col min="1" max="1" width="36.42578125" style="62" customWidth="1"/>
    <col min="2" max="2" width="13.28515625" style="62" customWidth="1"/>
    <col min="3" max="3" width="9.42578125" style="62" customWidth="1"/>
    <col min="4" max="4" width="34.5703125" style="63" customWidth="1"/>
    <col min="5" max="5" width="12.5703125" style="62" customWidth="1"/>
    <col min="6" max="6" width="9.140625" style="62"/>
    <col min="7" max="7" width="12.28515625" style="62" bestFit="1" customWidth="1"/>
    <col min="8" max="8" width="11.5703125" style="62" bestFit="1" customWidth="1"/>
    <col min="9" max="9" width="9.140625" style="62"/>
    <col min="10" max="10" width="11.42578125" style="62" customWidth="1"/>
    <col min="11" max="16384" width="9.140625" style="62"/>
  </cols>
  <sheetData>
    <row r="1" spans="1:40" ht="18" x14ac:dyDescent="0.25">
      <c r="A1" s="100" t="s">
        <v>61</v>
      </c>
      <c r="B1" s="100"/>
      <c r="C1" s="100"/>
      <c r="D1" s="100"/>
      <c r="E1" s="100"/>
    </row>
    <row r="2" spans="1:40" x14ac:dyDescent="0.25">
      <c r="A2" s="107" t="s">
        <v>59</v>
      </c>
      <c r="B2" s="107"/>
      <c r="C2" s="107"/>
      <c r="D2" s="107"/>
      <c r="E2" s="107"/>
    </row>
    <row r="4" spans="1:40" x14ac:dyDescent="0.25">
      <c r="A4" s="113"/>
      <c r="B4" s="113"/>
      <c r="C4" s="113"/>
      <c r="D4" s="113"/>
      <c r="E4" s="11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0" ht="15.75" thickBot="1" x14ac:dyDescent="0.3">
      <c r="A5" s="32" t="s">
        <v>18</v>
      </c>
      <c r="B5" s="33"/>
      <c r="C5" s="34" t="s">
        <v>60</v>
      </c>
      <c r="D5" s="1"/>
      <c r="E5" s="35"/>
      <c r="J5" s="2"/>
    </row>
    <row r="6" spans="1:40" x14ac:dyDescent="0.25">
      <c r="A6" s="36" t="s">
        <v>19</v>
      </c>
      <c r="B6" s="2">
        <v>53819.99</v>
      </c>
      <c r="C6" s="62" t="s">
        <v>360</v>
      </c>
      <c r="H6" s="2"/>
    </row>
    <row r="7" spans="1:40" ht="15.75" thickBot="1" x14ac:dyDescent="0.3">
      <c r="A7" s="37" t="s">
        <v>20</v>
      </c>
      <c r="B7" s="99">
        <v>50372.44</v>
      </c>
      <c r="C7" s="23" t="s">
        <v>312</v>
      </c>
      <c r="D7" s="3"/>
      <c r="E7" s="23"/>
      <c r="G7" s="2"/>
      <c r="J7" s="2"/>
    </row>
    <row r="8" spans="1:40" ht="15.75" thickTop="1" x14ac:dyDescent="0.25">
      <c r="A8" s="38" t="s">
        <v>0</v>
      </c>
      <c r="B8" s="2">
        <f>B7-B6</f>
        <v>-3447.5499999999956</v>
      </c>
    </row>
    <row r="10" spans="1:40" ht="15.75" thickBot="1" x14ac:dyDescent="0.3">
      <c r="A10" s="32" t="s">
        <v>21</v>
      </c>
      <c r="B10" s="35"/>
      <c r="C10" s="35"/>
      <c r="D10" s="1"/>
      <c r="E10" s="35"/>
    </row>
    <row r="11" spans="1:40" x14ac:dyDescent="0.25">
      <c r="A11" s="4" t="s">
        <v>22</v>
      </c>
      <c r="B11" s="4" t="s">
        <v>23</v>
      </c>
      <c r="C11" s="4" t="s">
        <v>24</v>
      </c>
      <c r="D11" s="5" t="s">
        <v>25</v>
      </c>
      <c r="E11" s="6" t="s">
        <v>26</v>
      </c>
    </row>
    <row r="12" spans="1:40" x14ac:dyDescent="0.25">
      <c r="A12" s="60"/>
      <c r="B12" s="60"/>
      <c r="C12" s="81"/>
      <c r="D12" s="60"/>
      <c r="E12" s="61"/>
    </row>
    <row r="13" spans="1:40" x14ac:dyDescent="0.25">
      <c r="A13" s="60" t="s">
        <v>341</v>
      </c>
      <c r="B13" s="60" t="s">
        <v>39</v>
      </c>
      <c r="C13" s="81">
        <v>1394</v>
      </c>
      <c r="D13" s="60" t="s">
        <v>347</v>
      </c>
      <c r="E13" s="61">
        <v>-140</v>
      </c>
    </row>
    <row r="14" spans="1:40" x14ac:dyDescent="0.25">
      <c r="A14" s="60" t="s">
        <v>342</v>
      </c>
      <c r="B14" s="60" t="s">
        <v>39</v>
      </c>
      <c r="C14" s="81">
        <v>1404</v>
      </c>
      <c r="D14" s="60" t="s">
        <v>348</v>
      </c>
      <c r="E14" s="61">
        <v>-162.63</v>
      </c>
    </row>
    <row r="15" spans="1:40" x14ac:dyDescent="0.25">
      <c r="A15" s="60" t="s">
        <v>342</v>
      </c>
      <c r="B15" s="60" t="s">
        <v>39</v>
      </c>
      <c r="C15" s="81">
        <v>1406</v>
      </c>
      <c r="D15" s="60" t="s">
        <v>349</v>
      </c>
      <c r="E15" s="61">
        <v>-162.63</v>
      </c>
    </row>
    <row r="16" spans="1:40" s="71" customFormat="1" x14ac:dyDescent="0.25">
      <c r="A16" s="60" t="s">
        <v>342</v>
      </c>
      <c r="B16" s="60" t="s">
        <v>39</v>
      </c>
      <c r="C16" s="81">
        <v>1418</v>
      </c>
      <c r="D16" s="60" t="s">
        <v>350</v>
      </c>
      <c r="E16" s="61">
        <v>-162.63999999999999</v>
      </c>
    </row>
    <row r="17" spans="1:5" s="71" customFormat="1" x14ac:dyDescent="0.25">
      <c r="A17" s="60" t="s">
        <v>342</v>
      </c>
      <c r="B17" s="60" t="s">
        <v>39</v>
      </c>
      <c r="C17" s="81">
        <v>1511</v>
      </c>
      <c r="D17" s="60" t="s">
        <v>351</v>
      </c>
      <c r="E17" s="61">
        <v>-162.71</v>
      </c>
    </row>
    <row r="18" spans="1:5" s="92" customFormat="1" x14ac:dyDescent="0.25">
      <c r="A18" s="60" t="s">
        <v>342</v>
      </c>
      <c r="B18" s="60" t="s">
        <v>39</v>
      </c>
      <c r="C18" s="81">
        <v>1512</v>
      </c>
      <c r="D18" s="60" t="s">
        <v>351</v>
      </c>
      <c r="E18" s="61">
        <v>-180</v>
      </c>
    </row>
    <row r="19" spans="1:5" s="92" customFormat="1" x14ac:dyDescent="0.25">
      <c r="A19" s="60" t="s">
        <v>342</v>
      </c>
      <c r="B19" s="60" t="s">
        <v>39</v>
      </c>
      <c r="C19" s="81">
        <v>1590</v>
      </c>
      <c r="D19" s="60" t="s">
        <v>352</v>
      </c>
      <c r="E19" s="61">
        <v>-157.69999999999999</v>
      </c>
    </row>
    <row r="20" spans="1:5" s="92" customFormat="1" x14ac:dyDescent="0.25">
      <c r="A20" s="60" t="s">
        <v>343</v>
      </c>
      <c r="B20" s="60" t="s">
        <v>39</v>
      </c>
      <c r="C20" s="81">
        <v>1656</v>
      </c>
      <c r="D20" s="60" t="s">
        <v>353</v>
      </c>
      <c r="E20" s="61">
        <v>-40.380000000000003</v>
      </c>
    </row>
    <row r="21" spans="1:5" s="92" customFormat="1" x14ac:dyDescent="0.25">
      <c r="A21" s="60" t="s">
        <v>343</v>
      </c>
      <c r="B21" s="60" t="s">
        <v>39</v>
      </c>
      <c r="C21" s="81">
        <v>1659</v>
      </c>
      <c r="D21" s="60" t="s">
        <v>354</v>
      </c>
      <c r="E21" s="61">
        <v>-25</v>
      </c>
    </row>
    <row r="22" spans="1:5" s="92" customFormat="1" x14ac:dyDescent="0.25">
      <c r="A22" s="60" t="s">
        <v>258</v>
      </c>
      <c r="B22" s="60" t="s">
        <v>39</v>
      </c>
      <c r="C22" s="81">
        <v>1665</v>
      </c>
      <c r="D22" s="60" t="s">
        <v>355</v>
      </c>
      <c r="E22" s="61">
        <v>0</v>
      </c>
    </row>
    <row r="23" spans="1:5" s="92" customFormat="1" x14ac:dyDescent="0.25">
      <c r="A23" s="60" t="s">
        <v>344</v>
      </c>
      <c r="B23" s="60" t="s">
        <v>39</v>
      </c>
      <c r="C23" s="81">
        <v>1668</v>
      </c>
      <c r="D23" s="60" t="s">
        <v>356</v>
      </c>
      <c r="E23" s="61">
        <v>0</v>
      </c>
    </row>
    <row r="24" spans="1:5" s="92" customFormat="1" x14ac:dyDescent="0.25">
      <c r="A24" s="60" t="s">
        <v>345</v>
      </c>
      <c r="B24" s="60" t="s">
        <v>39</v>
      </c>
      <c r="C24" s="81">
        <v>1672</v>
      </c>
      <c r="D24" s="60" t="s">
        <v>357</v>
      </c>
      <c r="E24" s="61">
        <v>0</v>
      </c>
    </row>
    <row r="25" spans="1:5" s="92" customFormat="1" x14ac:dyDescent="0.25">
      <c r="A25" s="60" t="s">
        <v>346</v>
      </c>
      <c r="B25" s="60" t="s">
        <v>39</v>
      </c>
      <c r="C25" s="81">
        <v>1674</v>
      </c>
      <c r="D25" s="60" t="s">
        <v>358</v>
      </c>
      <c r="E25" s="61">
        <v>0</v>
      </c>
    </row>
    <row r="26" spans="1:5" s="92" customFormat="1" x14ac:dyDescent="0.25">
      <c r="A26" s="60" t="s">
        <v>298</v>
      </c>
      <c r="B26" s="60" t="s">
        <v>39</v>
      </c>
      <c r="C26" s="81">
        <v>1675</v>
      </c>
      <c r="D26" s="60" t="s">
        <v>109</v>
      </c>
      <c r="E26" s="61">
        <v>-1976.18</v>
      </c>
    </row>
    <row r="27" spans="1:5" s="92" customFormat="1" x14ac:dyDescent="0.25">
      <c r="A27" s="60" t="s">
        <v>302</v>
      </c>
      <c r="B27" s="60" t="s">
        <v>39</v>
      </c>
      <c r="C27" s="81">
        <v>1676</v>
      </c>
      <c r="D27" s="60" t="s">
        <v>307</v>
      </c>
      <c r="E27" s="61">
        <v>-24.19</v>
      </c>
    </row>
    <row r="28" spans="1:5" s="71" customFormat="1" x14ac:dyDescent="0.25">
      <c r="A28" s="60" t="s">
        <v>302</v>
      </c>
      <c r="B28" s="60" t="s">
        <v>39</v>
      </c>
      <c r="C28" s="81">
        <v>1677</v>
      </c>
      <c r="D28" s="60" t="s">
        <v>359</v>
      </c>
      <c r="E28" s="61">
        <v>-120.75</v>
      </c>
    </row>
    <row r="29" spans="1:5" s="71" customFormat="1" x14ac:dyDescent="0.25">
      <c r="A29" s="60" t="s">
        <v>260</v>
      </c>
      <c r="B29" s="60" t="s">
        <v>39</v>
      </c>
      <c r="C29" s="60"/>
      <c r="D29" s="60" t="s">
        <v>359</v>
      </c>
      <c r="E29" s="61">
        <v>-132.74</v>
      </c>
    </row>
    <row r="30" spans="1:5" s="71" customFormat="1" x14ac:dyDescent="0.25">
      <c r="A30" s="60"/>
      <c r="B30" s="60"/>
      <c r="C30" s="81"/>
      <c r="D30" s="60"/>
      <c r="E30" s="61"/>
    </row>
    <row r="31" spans="1:5" x14ac:dyDescent="0.25">
      <c r="A31" s="60"/>
      <c r="B31" s="60"/>
      <c r="C31" s="81"/>
      <c r="D31" s="60"/>
      <c r="E31" s="61"/>
    </row>
    <row r="32" spans="1:5" x14ac:dyDescent="0.25">
      <c r="A32" s="60"/>
      <c r="B32" s="60"/>
      <c r="C32" s="81"/>
      <c r="D32" s="60"/>
      <c r="E32" s="61"/>
    </row>
    <row r="33" spans="1:8" x14ac:dyDescent="0.25">
      <c r="A33" s="68"/>
      <c r="B33" s="68"/>
      <c r="C33" s="69"/>
      <c r="D33" s="68"/>
      <c r="E33" s="70"/>
    </row>
    <row r="34" spans="1:8" x14ac:dyDescent="0.25">
      <c r="A34" s="68"/>
      <c r="B34" s="68"/>
      <c r="C34" s="69"/>
      <c r="D34" s="68"/>
      <c r="E34" s="70"/>
    </row>
    <row r="35" spans="1:8" x14ac:dyDescent="0.25">
      <c r="A35" s="68"/>
      <c r="B35" s="68"/>
      <c r="C35" s="68"/>
      <c r="D35" s="68"/>
      <c r="E35" s="70"/>
      <c r="G35" s="66"/>
      <c r="H35" s="66"/>
    </row>
    <row r="36" spans="1:8" x14ac:dyDescent="0.25">
      <c r="A36" s="60"/>
      <c r="B36" s="60"/>
      <c r="C36" s="60"/>
      <c r="D36" s="60"/>
      <c r="E36" s="61"/>
      <c r="G36" s="66"/>
      <c r="H36" s="66"/>
    </row>
    <row r="37" spans="1:8" x14ac:dyDescent="0.25">
      <c r="A37" s="7"/>
      <c r="B37" s="7"/>
      <c r="C37" s="7"/>
      <c r="D37" s="8" t="s">
        <v>27</v>
      </c>
      <c r="E37" s="9">
        <f>SUM(E12:E36)</f>
        <v>-3447.55</v>
      </c>
      <c r="G37" s="66"/>
      <c r="H37" s="66"/>
    </row>
    <row r="38" spans="1:8" x14ac:dyDescent="0.25">
      <c r="A38" s="7"/>
      <c r="B38" s="7"/>
      <c r="C38" s="7"/>
      <c r="D38" s="60"/>
      <c r="E38" s="10"/>
      <c r="G38" s="66"/>
      <c r="H38" s="66"/>
    </row>
    <row r="39" spans="1:8" ht="15.75" thickBot="1" x14ac:dyDescent="0.3">
      <c r="A39" s="32" t="s">
        <v>28</v>
      </c>
      <c r="B39" s="35"/>
      <c r="C39" s="35"/>
      <c r="D39" s="1"/>
      <c r="E39" s="35"/>
      <c r="G39" s="66"/>
      <c r="H39" s="66"/>
    </row>
    <row r="40" spans="1:8" x14ac:dyDescent="0.25">
      <c r="A40" s="11" t="s">
        <v>84</v>
      </c>
      <c r="E40" s="10"/>
      <c r="G40" s="66"/>
      <c r="H40" s="66"/>
    </row>
    <row r="41" spans="1:8" x14ac:dyDescent="0.25">
      <c r="A41" s="11" t="s">
        <v>29</v>
      </c>
      <c r="E41" s="61"/>
      <c r="G41" s="66"/>
    </row>
    <row r="42" spans="1:8" x14ac:dyDescent="0.25">
      <c r="A42" s="11" t="s">
        <v>30</v>
      </c>
      <c r="E42" s="10"/>
      <c r="G42" s="30"/>
    </row>
    <row r="43" spans="1:8" x14ac:dyDescent="0.25">
      <c r="D43" s="8" t="s">
        <v>31</v>
      </c>
      <c r="E43" s="9">
        <f>SUM(E40:E42)</f>
        <v>0</v>
      </c>
    </row>
    <row r="44" spans="1:8" ht="15.75" thickBot="1" x14ac:dyDescent="0.3">
      <c r="A44" s="32" t="s">
        <v>32</v>
      </c>
      <c r="B44" s="35"/>
    </row>
    <row r="45" spans="1:8" x14ac:dyDescent="0.25">
      <c r="A45" s="36" t="s">
        <v>33</v>
      </c>
      <c r="B45" s="30">
        <f>B8</f>
        <v>-3447.5499999999956</v>
      </c>
    </row>
    <row r="46" spans="1:8" ht="15.75" thickBot="1" x14ac:dyDescent="0.3">
      <c r="A46" s="37" t="s">
        <v>34</v>
      </c>
      <c r="B46" s="39">
        <f>E37-E43</f>
        <v>-3447.55</v>
      </c>
    </row>
    <row r="47" spans="1:8" ht="15.75" thickTop="1" x14ac:dyDescent="0.25">
      <c r="A47" s="38" t="s">
        <v>32</v>
      </c>
      <c r="B47" s="30">
        <f>B45-B46</f>
        <v>4.5474735088646412E-12</v>
      </c>
      <c r="E47" s="30"/>
    </row>
    <row r="48" spans="1:8" x14ac:dyDescent="0.25">
      <c r="B48" s="30"/>
    </row>
    <row r="49" spans="1:2" ht="15.75" thickBot="1" x14ac:dyDescent="0.3">
      <c r="A49" s="48" t="s">
        <v>35</v>
      </c>
      <c r="B49" s="49"/>
    </row>
    <row r="50" spans="1:2" x14ac:dyDescent="0.25">
      <c r="A50" s="50" t="s">
        <v>19</v>
      </c>
      <c r="B50" s="51">
        <f>B6</f>
        <v>53819.99</v>
      </c>
    </row>
    <row r="51" spans="1:2" x14ac:dyDescent="0.25">
      <c r="A51" s="50" t="s">
        <v>27</v>
      </c>
      <c r="B51" s="51">
        <f>E37</f>
        <v>-3447.55</v>
      </c>
    </row>
    <row r="52" spans="1:2" ht="15.75" thickBot="1" x14ac:dyDescent="0.3">
      <c r="A52" s="52" t="s">
        <v>31</v>
      </c>
      <c r="B52" s="53">
        <f>E43*-1</f>
        <v>0</v>
      </c>
    </row>
    <row r="53" spans="1:2" ht="15.75" thickTop="1" x14ac:dyDescent="0.25">
      <c r="A53" s="50" t="s">
        <v>36</v>
      </c>
      <c r="B53" s="51">
        <f>B50+B51+B52</f>
        <v>50372.439999999995</v>
      </c>
    </row>
    <row r="54" spans="1:2" ht="15.75" thickBot="1" x14ac:dyDescent="0.3">
      <c r="A54" s="52" t="s">
        <v>37</v>
      </c>
      <c r="B54" s="53">
        <f>B7</f>
        <v>50372.44</v>
      </c>
    </row>
    <row r="55" spans="1:2" ht="15.75" thickTop="1" x14ac:dyDescent="0.25">
      <c r="A55" s="54" t="s">
        <v>32</v>
      </c>
      <c r="B55" s="55">
        <f>B53-B54</f>
        <v>0</v>
      </c>
    </row>
  </sheetData>
  <mergeCells count="3">
    <mergeCell ref="A2:E2"/>
    <mergeCell ref="A4:E4"/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Balance Sheet</vt:lpstr>
      <vt:lpstr>P&amp;L Yearly</vt:lpstr>
      <vt:lpstr>P&amp;L Monthly</vt:lpstr>
      <vt:lpstr>Bank Reconciliation</vt:lpstr>
      <vt:lpstr>Activity Fund Reconciliation</vt:lpstr>
      <vt:lpstr>Trip Acct - Bal Sheet</vt:lpstr>
      <vt:lpstr>Trip Acct - P&amp;L</vt:lpstr>
      <vt:lpstr>Trip Acct - Stu Credits</vt:lpstr>
      <vt:lpstr>Trip Acct - Checks Outstanding</vt:lpstr>
      <vt:lpstr>'P&amp;L Yearly'!Print_Titles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 kleespies</cp:lastModifiedBy>
  <cp:lastPrinted>2022-02-01T21:56:41Z</cp:lastPrinted>
  <dcterms:created xsi:type="dcterms:W3CDTF">2019-10-12T16:44:37Z</dcterms:created>
  <dcterms:modified xsi:type="dcterms:W3CDTF">2022-05-03T15:55:05Z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c0f418-96a4-4caf-9d7c-ccc5ec7f9d91_Enabled">
    <vt:lpwstr>True</vt:lpwstr>
  </property>
  <property fmtid="{D5CDD505-2E9C-101B-9397-08002B2CF9AE}" pid="3" name="MSIP_Label_1bc0f418-96a4-4caf-9d7c-ccc5ec7f9d91_SiteId">
    <vt:lpwstr>e0793d39-0939-496d-b129-198edd916feb</vt:lpwstr>
  </property>
  <property fmtid="{D5CDD505-2E9C-101B-9397-08002B2CF9AE}" pid="4" name="MSIP_Label_1bc0f418-96a4-4caf-9d7c-ccc5ec7f9d91_Owner">
    <vt:lpwstr>d.michael.mctaggart@accenture.com</vt:lpwstr>
  </property>
  <property fmtid="{D5CDD505-2E9C-101B-9397-08002B2CF9AE}" pid="5" name="MSIP_Label_1bc0f418-96a4-4caf-9d7c-ccc5ec7f9d91_SetDate">
    <vt:lpwstr>2019-11-01T09:13:54.6221841Z</vt:lpwstr>
  </property>
  <property fmtid="{D5CDD505-2E9C-101B-9397-08002B2CF9AE}" pid="6" name="MSIP_Label_1bc0f418-96a4-4caf-9d7c-ccc5ec7f9d91_Name">
    <vt:lpwstr>Unrestricted</vt:lpwstr>
  </property>
  <property fmtid="{D5CDD505-2E9C-101B-9397-08002B2CF9AE}" pid="7" name="MSIP_Label_1bc0f418-96a4-4caf-9d7c-ccc5ec7f9d91_Application">
    <vt:lpwstr>Microsoft Azure Information Protection</vt:lpwstr>
  </property>
  <property fmtid="{D5CDD505-2E9C-101B-9397-08002B2CF9AE}" pid="8" name="MSIP_Label_1bc0f418-96a4-4caf-9d7c-ccc5ec7f9d91_ActionId">
    <vt:lpwstr>3f67ad6c-4309-4f60-901b-e885961ce05a</vt:lpwstr>
  </property>
  <property fmtid="{D5CDD505-2E9C-101B-9397-08002B2CF9AE}" pid="9" name="MSIP_Label_1bc0f418-96a4-4caf-9d7c-ccc5ec7f9d91_Extended_MSFT_Method">
    <vt:lpwstr>Manual</vt:lpwstr>
  </property>
  <property fmtid="{D5CDD505-2E9C-101B-9397-08002B2CF9AE}" pid="10" name="Sensitivity">
    <vt:lpwstr>Unrestricted</vt:lpwstr>
  </property>
</Properties>
</file>